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7" sheetId="15" r:id="rId1"/>
    <sheet name="102" sheetId="22" r:id="rId2"/>
    <sheet name="103"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COMPOSIÇÃO DO BDI EQUIPAMENTO" sheetId="20" state="hidden" r:id="rId19"/>
  </sheets>
  <externalReferences>
    <externalReference r:id="rId20"/>
    <externalReference r:id="rId21"/>
    <externalReference r:id="rId22"/>
  </externalReferences>
  <definedNames>
    <definedName name="_xlnm.Print_Area" localSheetId="0">'BM07'!$A$1:$Y$59</definedName>
    <definedName name="_xlnm.Print_Area" localSheetId="18">'COMPOSIÇÃO DO BDI EQUIPAMENTO'!$A$1:$E$52</definedName>
    <definedName name="SABRIL2017">'[1]SERVIÇOS ABRIL 2017'!$A$3:$E$6145</definedName>
    <definedName name="_xlnm.Print_Titles" localSheetId="0">'BM07'!$1:$9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37"/>
  <c r="D24"/>
  <c r="C35" s="1"/>
  <c r="G27" s="1"/>
  <c r="H27" s="1"/>
  <c r="G12" s="1"/>
  <c r="C34"/>
  <c r="C33"/>
  <c r="C32"/>
  <c r="C31"/>
  <c r="B34" i="38"/>
  <c r="B33"/>
  <c r="B32"/>
  <c r="B31"/>
  <c r="T30" i="15"/>
  <c r="C16" i="35"/>
  <c r="G12"/>
  <c r="G25"/>
  <c r="G24"/>
  <c r="D46"/>
  <c r="D45"/>
  <c r="D44"/>
  <c r="D47" s="1"/>
  <c r="C39" i="34"/>
  <c r="C38"/>
  <c r="C37"/>
  <c r="C36"/>
  <c r="C35"/>
  <c r="C34"/>
  <c r="C33"/>
  <c r="C39" i="33"/>
  <c r="C38"/>
  <c r="C37"/>
  <c r="C36"/>
  <c r="C35"/>
  <c r="C34"/>
  <c r="C33"/>
  <c r="B38" i="40"/>
  <c r="B37"/>
  <c r="B38" i="22"/>
  <c r="B37"/>
  <c r="B40" s="1"/>
  <c r="T25" i="15"/>
  <c r="C16" i="30"/>
  <c r="C16" i="36"/>
  <c r="T20" i="15"/>
  <c r="C16" i="27"/>
  <c r="T19" i="15"/>
  <c r="C16" i="26"/>
  <c r="E27" i="23"/>
  <c r="E26"/>
  <c r="C16"/>
  <c r="B39" i="22"/>
  <c r="B39" i="40"/>
  <c r="C40" i="34" l="1"/>
  <c r="G27" s="1"/>
  <c r="H27" s="1"/>
  <c r="C40" i="33"/>
  <c r="G28" s="1"/>
  <c r="H28" s="1"/>
  <c r="B40" i="40"/>
  <c r="G12" i="33"/>
  <c r="C16"/>
  <c r="G12" i="34"/>
  <c r="C16"/>
  <c r="B24" i="40"/>
  <c r="B25"/>
  <c r="B26"/>
  <c r="B28"/>
  <c r="B29"/>
  <c r="B30"/>
  <c r="B31"/>
  <c r="B32"/>
  <c r="B33"/>
  <c r="B34"/>
  <c r="B35"/>
  <c r="B36"/>
  <c r="B27"/>
  <c r="B7"/>
  <c r="G55" i="15"/>
  <c r="G54"/>
  <c r="G53"/>
  <c r="G52"/>
  <c r="G51"/>
  <c r="G50"/>
  <c r="G49"/>
  <c r="G48"/>
  <c r="G47"/>
  <c r="G45"/>
  <c r="G44"/>
  <c r="G43"/>
  <c r="G42"/>
  <c r="G41"/>
  <c r="G40"/>
  <c r="G38"/>
  <c r="G37"/>
  <c r="G36"/>
  <c r="G35"/>
  <c r="G34"/>
  <c r="G33"/>
  <c r="G30"/>
  <c r="G15"/>
  <c r="G17"/>
  <c r="G18"/>
  <c r="G19"/>
  <c r="G20"/>
  <c r="G21"/>
  <c r="G22"/>
  <c r="G23"/>
  <c r="G24"/>
  <c r="G25"/>
  <c r="G26"/>
  <c r="G12"/>
  <c r="C25" i="38"/>
  <c r="C24"/>
  <c r="C23"/>
  <c r="C22"/>
  <c r="B30"/>
  <c r="B29"/>
  <c r="B28"/>
  <c r="B27"/>
  <c r="B26"/>
  <c r="B25"/>
  <c r="B24"/>
  <c r="B23"/>
  <c r="B22"/>
  <c r="D40" i="35"/>
  <c r="D39"/>
  <c r="D38"/>
  <c r="D37"/>
  <c r="D36"/>
  <c r="D35"/>
  <c r="D34"/>
  <c r="D29"/>
  <c r="D28"/>
  <c r="D27"/>
  <c r="D26"/>
  <c r="D25"/>
  <c r="D24"/>
  <c r="D23"/>
  <c r="D30" s="1"/>
  <c r="B36" i="22"/>
  <c r="B35"/>
  <c r="B34"/>
  <c r="B33"/>
  <c r="B32"/>
  <c r="B31"/>
  <c r="B30"/>
  <c r="B29"/>
  <c r="B28"/>
  <c r="B27"/>
  <c r="B26"/>
  <c r="B25"/>
  <c r="B24"/>
  <c r="G25"/>
  <c r="G26"/>
  <c r="F26" i="29"/>
  <c r="D47" i="39"/>
  <c r="D46"/>
  <c r="D45"/>
  <c r="D44"/>
  <c r="D43"/>
  <c r="D42"/>
  <c r="D41"/>
  <c r="D48" s="1"/>
  <c r="D49" s="1"/>
  <c r="G12" i="25"/>
  <c r="D48"/>
  <c r="B35" i="38" l="1"/>
  <c r="F25" s="1"/>
  <c r="G25" s="1"/>
  <c r="G11" s="1"/>
  <c r="F28" i="40"/>
  <c r="G28" s="1"/>
  <c r="D41" i="35"/>
  <c r="G27" i="22" l="1"/>
  <c r="F28"/>
  <c r="G12" i="40"/>
  <c r="G13" s="1"/>
  <c r="E12"/>
  <c r="G28" i="22" l="1"/>
  <c r="G12" s="1"/>
  <c r="C23" i="23"/>
  <c r="D23" s="1"/>
  <c r="E23" s="1"/>
  <c r="C19" i="40"/>
  <c r="T14" i="15" s="1"/>
  <c r="G14" s="1"/>
  <c r="C16" i="40"/>
  <c r="G13" i="34"/>
  <c r="C19" s="1"/>
  <c r="T29" i="15" s="1"/>
  <c r="G29" s="1"/>
  <c r="G12" i="26"/>
  <c r="C17" i="40" l="1"/>
  <c r="D47" i="25"/>
  <c r="G12" i="30"/>
  <c r="G12" i="27"/>
  <c r="F24" i="29" l="1"/>
  <c r="F25"/>
  <c r="F23" l="1"/>
  <c r="F22"/>
  <c r="F21"/>
  <c r="F27" l="1"/>
  <c r="F29" s="1"/>
  <c r="C17" i="39"/>
  <c r="C19"/>
  <c r="I48" i="15"/>
  <c r="I49"/>
  <c r="I50"/>
  <c r="I51"/>
  <c r="I52"/>
  <c r="I53"/>
  <c r="I54"/>
  <c r="I55"/>
  <c r="I40"/>
  <c r="I41"/>
  <c r="I42"/>
  <c r="I43"/>
  <c r="I44"/>
  <c r="I45"/>
  <c r="I36"/>
  <c r="I37"/>
  <c r="I38"/>
  <c r="I33"/>
  <c r="I34"/>
  <c r="I35"/>
  <c r="I14"/>
  <c r="I15"/>
  <c r="I21"/>
  <c r="I23"/>
  <c r="I24"/>
  <c r="I25"/>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25"/>
  <c r="K25"/>
  <c r="M34"/>
  <c r="K34"/>
  <c r="K36"/>
  <c r="M36"/>
  <c r="M42"/>
  <c r="K42"/>
  <c r="M54"/>
  <c r="K54"/>
  <c r="M50"/>
  <c r="K50"/>
  <c r="J24"/>
  <c r="J15"/>
  <c r="J33"/>
  <c r="J45"/>
  <c r="J41"/>
  <c r="L41"/>
  <c r="J53"/>
  <c r="J49"/>
  <c r="J12"/>
  <c r="J14"/>
  <c r="J38"/>
  <c r="J44"/>
  <c r="J40"/>
  <c r="J52"/>
  <c r="J48"/>
  <c r="J26"/>
  <c r="J35"/>
  <c r="J37"/>
  <c r="J43"/>
  <c r="J55"/>
  <c r="J51"/>
  <c r="J34"/>
  <c r="J36"/>
  <c r="J42"/>
  <c r="J54"/>
  <c r="J50"/>
  <c r="J25"/>
  <c r="J23"/>
  <c r="J21"/>
  <c r="G13" i="39"/>
  <c r="I17" i="15"/>
  <c r="M17" l="1"/>
  <c r="K17"/>
  <c r="J17"/>
  <c r="H55"/>
  <c r="H54"/>
  <c r="H53"/>
  <c r="H52"/>
  <c r="H51"/>
  <c r="H50"/>
  <c r="H49"/>
  <c r="H48"/>
  <c r="H47"/>
  <c r="H45"/>
  <c r="H44"/>
  <c r="H43"/>
  <c r="H42"/>
  <c r="H41"/>
  <c r="H40"/>
  <c r="H38"/>
  <c r="H37"/>
  <c r="H36"/>
  <c r="H35"/>
  <c r="H34"/>
  <c r="H33"/>
  <c r="C18" i="38" l="1"/>
  <c r="C17" i="36"/>
  <c r="C19"/>
  <c r="I22" i="15" s="1"/>
  <c r="C46" i="25"/>
  <c r="C15" i="34"/>
  <c r="C15" i="33"/>
  <c r="C19"/>
  <c r="T28" i="15" s="1"/>
  <c r="G28" s="1"/>
  <c r="T31" l="1"/>
  <c r="G31" s="1"/>
  <c r="H31" s="1"/>
  <c r="C15" i="38"/>
  <c r="M22" i="15"/>
  <c r="K22"/>
  <c r="J22"/>
  <c r="H29"/>
  <c r="I29"/>
  <c r="I31"/>
  <c r="H28"/>
  <c r="I28"/>
  <c r="G12" i="38"/>
  <c r="C16" s="1"/>
  <c r="G13" i="36"/>
  <c r="C19" i="35"/>
  <c r="G13"/>
  <c r="C17" s="1"/>
  <c r="G13" i="33"/>
  <c r="K31" i="15" l="1"/>
  <c r="M31"/>
  <c r="M28"/>
  <c r="K28"/>
  <c r="L28" s="1"/>
  <c r="M29"/>
  <c r="K29"/>
  <c r="L29" s="1"/>
  <c r="H30"/>
  <c r="I30"/>
  <c r="J31"/>
  <c r="J29"/>
  <c r="J28"/>
  <c r="C17" i="33"/>
  <c r="C17" i="34"/>
  <c r="L55" i="15"/>
  <c r="L53"/>
  <c r="L51"/>
  <c r="L50"/>
  <c r="L49"/>
  <c r="L45"/>
  <c r="L42"/>
  <c r="L36"/>
  <c r="L35"/>
  <c r="L33"/>
  <c r="C19" i="26"/>
  <c r="L54" i="15"/>
  <c r="L52"/>
  <c r="L48"/>
  <c r="I47"/>
  <c r="L44"/>
  <c r="L43"/>
  <c r="L40"/>
  <c r="L38"/>
  <c r="L37"/>
  <c r="L34"/>
  <c r="G12" i="31"/>
  <c r="C19" s="1"/>
  <c r="G13" i="27"/>
  <c r="C17" s="1"/>
  <c r="K30" i="15" l="1"/>
  <c r="L30" s="1"/>
  <c r="M30"/>
  <c r="M47"/>
  <c r="K47"/>
  <c r="L47" s="1"/>
  <c r="J47"/>
  <c r="J46" s="1"/>
  <c r="J30"/>
  <c r="F13" i="25"/>
  <c r="L31" i="15"/>
  <c r="G13" i="31"/>
  <c r="C17" s="1"/>
  <c r="G13" i="24"/>
  <c r="C19" s="1"/>
  <c r="J39" i="15"/>
  <c r="G13" i="30"/>
  <c r="C19" s="1"/>
  <c r="G12" i="29"/>
  <c r="C18" s="1"/>
  <c r="C19" i="27"/>
  <c r="G13" i="26"/>
  <c r="G13" i="22"/>
  <c r="C19" i="25" l="1"/>
  <c r="C17"/>
  <c r="I20" i="15"/>
  <c r="C17" i="26"/>
  <c r="I19" i="15"/>
  <c r="L14"/>
  <c r="C17" i="24"/>
  <c r="C16" i="29"/>
  <c r="C17" i="30"/>
  <c r="C19" i="22"/>
  <c r="L24" i="15"/>
  <c r="L26"/>
  <c r="L15"/>
  <c r="L21"/>
  <c r="L22"/>
  <c r="H14"/>
  <c r="H15"/>
  <c r="H20"/>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C16" i="22" l="1"/>
  <c r="C17" s="1"/>
  <c r="T13" i="15"/>
  <c r="G13" s="1"/>
  <c r="I18"/>
  <c r="K19"/>
  <c r="M19"/>
  <c r="K20"/>
  <c r="M20"/>
  <c r="J20"/>
  <c r="L20"/>
  <c r="J19"/>
  <c r="H19"/>
  <c r="H39"/>
  <c r="L46"/>
  <c r="L39"/>
  <c r="H46"/>
  <c r="F39"/>
  <c r="F46"/>
  <c r="F27"/>
  <c r="F11"/>
  <c r="K18" l="1"/>
  <c r="J18"/>
  <c r="M18"/>
  <c r="H13"/>
  <c r="I13"/>
  <c r="L19"/>
  <c r="L23"/>
  <c r="F56"/>
  <c r="K13" l="1"/>
  <c r="L13" s="1"/>
  <c r="M13"/>
  <c r="J13"/>
  <c r="C17" i="23"/>
  <c r="F57" i="15"/>
  <c r="E25" i="20"/>
  <c r="E18"/>
  <c r="E28" s="1"/>
  <c r="E12"/>
  <c r="F58" i="15" l="1"/>
  <c r="B7" i="20"/>
  <c r="B6"/>
  <c r="H17" i="15"/>
  <c r="H18"/>
  <c r="L18" l="1"/>
  <c r="L17"/>
  <c r="H25" l="1"/>
  <c r="L25" l="1"/>
  <c r="G13" i="37" l="1"/>
  <c r="C19"/>
  <c r="T32" i="15" l="1"/>
  <c r="G32" s="1"/>
  <c r="C16" i="37"/>
  <c r="C17"/>
  <c r="H32" i="15" l="1"/>
  <c r="H27" s="1"/>
  <c r="I32"/>
  <c r="M32" l="1"/>
  <c r="K32"/>
  <c r="L32" s="1"/>
  <c r="L27" s="1"/>
  <c r="J32"/>
  <c r="J27" l="1"/>
  <c r="G12" i="23"/>
  <c r="C19" s="1"/>
  <c r="T16" i="15" s="1"/>
  <c r="G16" s="1"/>
  <c r="H16" l="1"/>
  <c r="H11" s="1"/>
  <c r="H56" s="1"/>
  <c r="H57" s="1"/>
  <c r="H58" s="1"/>
  <c r="G13" i="23"/>
  <c r="I16" i="15" l="1"/>
  <c r="J16" l="1"/>
  <c r="J11" s="1"/>
  <c r="K16"/>
  <c r="L16" s="1"/>
  <c r="L11" s="1"/>
  <c r="L56" s="1"/>
  <c r="L57" s="1"/>
  <c r="L58" s="1"/>
  <c r="M16"/>
  <c r="J56" l="1"/>
  <c r="M11"/>
  <c r="M56" l="1"/>
  <c r="J57"/>
  <c r="M57" s="1"/>
  <c r="J58" l="1"/>
  <c r="M58" l="1"/>
</calcChain>
</file>

<file path=xl/sharedStrings.xml><?xml version="1.0" encoding="utf-8"?>
<sst xmlns="http://schemas.openxmlformats.org/spreadsheetml/2006/main" count="874" uniqueCount="322">
  <si>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</si>
  <si>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</si>
  <si>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</si>
  <si>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</si>
  <si>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</si>
  <si>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</si>
  <si>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</si>
  <si>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</si>
  <si>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</si>
  <si>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</si>
  <si>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</si>
  <si>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</si>
  <si>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</si>
  <si>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</si>
  <si>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</si>
  <si>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</si>
  <si>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</si>
  <si>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</si>
  <si>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</si>
  <si>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</si>
  <si>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</si>
  <si>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</si>
  <si>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</si>
  <si>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</si>
  <si>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</si>
  <si>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</si>
  <si>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</si>
  <si>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</si>
  <si>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</si>
  <si>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</si>
  <si>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</si>
  <si>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</si>
  <si>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</si>
  <si>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</si>
  <si>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</si>
  <si>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</si>
  <si>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</si>
  <si>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</si>
  <si>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</si>
  <si>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</si>
  <si>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</si>
  <si>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</si>
  <si>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</si>
  <si>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</si>
  <si>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</si>
  <si>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</si>
  <si>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</si>
  <si>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</si>
  <si>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</si>
  <si>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</si>
  <si>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</si>
  <si>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</si>
  <si>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</si>
  <si>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</si>
  <si>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</si>
  <si>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</si>
  <si>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</si>
  <si>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</si>
  <si>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</si>
  <si>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</si>
  <si>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</si>
  <si>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</si>
  <si>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</si>
  <si>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</si>
  <si>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</si>
  <si>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</si>
  <si>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</si>
  <si>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</si>
  <si>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</si>
  <si>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</si>
  <si>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</si>
  <si>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</si>
  <si>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</si>
  <si>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</si>
  <si>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</si>
  <si>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</si>
  <si>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</si>
  <si>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</si>
  <si>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</si>
  <si>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</si>
  <si>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</si>
  <si>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</si>
  <si>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</si>
  <si>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</si>
  <si>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</si>
  <si>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</si>
  <si>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</si>
  <si>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</si>
  <si>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</si>
  <si>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</si>
  <si>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</si>
  <si>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</si>
  <si>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</si>
  <si>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</si>
  <si>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</si>
  <si>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</si>
  <si>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</si>
  <si>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</si>
  <si>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</si>
  <si>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</si>
  <si>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</si>
  <si>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</si>
  <si>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</si>
  <si>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</si>
  <si>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</si>
  <si>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</si>
  <si>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</si>
  <si>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</si>
  <si>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</si>
  <si>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</si>
  <si>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</si>
  <si>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</si>
  <si>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</si>
  <si>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</si>
  <si>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</si>
  <si>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</si>
  <si>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</si>
  <si>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</si>
  <si>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</si>
  <si>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</si>
  <si>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</si>
  <si>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</si>
  <si>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</si>
  <si>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</si>
  <si>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</si>
  <si>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</si>
  <si>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</si>
  <si>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</si>
  <si>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</si>
  <si>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</si>
  <si>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</si>
  <si>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</si>
  <si>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</si>
  <si>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</si>
  <si>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</si>
  <si>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</si>
  <si>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</si>
  <si>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</si>
  <si>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</si>
  <si>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</si>
  <si>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</si>
  <si>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</si>
  <si>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</si>
  <si>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</si>
  <si>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</si>
  <si>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</si>
  <si>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</si>
  <si>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</si>
  <si>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____________________________
Eng. Pascoal Benvindo Dias
Gerente do Contrato</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</si>
  <si>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</si>
  <si>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</si>
  <si>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</si>
  <si>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</si>
  <si>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</si>
  <si>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</si>
  <si>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</si>
  <si>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</si>
  <si>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</si>
  <si>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</si>
  <si>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</si>
  <si>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</si>
  <si>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mês 8</t>
  </si>
  <si>
    <t>mês 9</t>
  </si>
  <si>
    <t>mês 10</t>
  </si>
  <si>
    <t>mês 11</t>
  </si>
  <si>
    <t>mês 12</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</si>
  <si>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</si>
  <si>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</si>
  <si>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</si>
  <si>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</si>
  <si>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</si>
  <si>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</si>
  <si>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</si>
  <si>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</si>
  <si>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</si>
  <si>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</si>
  <si>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</si>
  <si>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</si>
  <si>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</si>
  <si>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</si>
  <si>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</si>
  <si>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</si>
  <si>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</si>
  <si>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</si>
  <si>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</si>
  <si>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</si>
  <si>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</si>
  <si>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</si>
  <si>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</si>
  <si>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</si>
  <si>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</si>
  <si>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</si>
  <si>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</si>
  <si>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</si>
  <si>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</si>
  <si>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</si>
  <si>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</si>
  <si>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</si>
  <si>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</si>
  <si>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</si>
  <si>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</si>
  <si>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</si>
  <si>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</si>
  <si>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</si>
  <si>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</si>
  <si>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</si>
  <si>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</si>
  <si>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</si>
  <si>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CERÂMICA</t>
  </si>
  <si>
    <t>LOCAL</t>
  </si>
  <si>
    <t>UNIDADE</t>
  </si>
  <si>
    <t>PAREDE 1</t>
  </si>
  <si>
    <t>PAREDE 2</t>
  </si>
  <si>
    <t>PAREDE 3</t>
  </si>
  <si>
    <t>PAREDE 4</t>
  </si>
  <si>
    <t>PAREDE 5</t>
  </si>
  <si>
    <t>PAREDE 6</t>
  </si>
  <si>
    <t>volume empolado</t>
  </si>
  <si>
    <t>DEMOLIÇÃO DE PASTILHAS</t>
  </si>
  <si>
    <t>PAREDE 7</t>
  </si>
  <si>
    <t>ACUMULADO</t>
  </si>
  <si>
    <t>NO MÊS</t>
  </si>
  <si>
    <t>acumulado</t>
  </si>
  <si>
    <t>mês</t>
  </si>
  <si>
    <t>PASTILHAS</t>
  </si>
  <si>
    <t>REJUNTAMENTO</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</si>
  <si>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</si>
  <si>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</si>
  <si>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</si>
  <si>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</si>
  <si>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</si>
  <si>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</si>
  <si>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</si>
  <si>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</si>
  <si>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</si>
  <si>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</si>
  <si>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</si>
  <si>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</si>
  <si>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</si>
  <si>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</si>
  <si>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</si>
  <si>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</si>
  <si>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</si>
  <si>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</si>
  <si>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</si>
  <si>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</si>
  <si>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</si>
  <si>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</si>
  <si>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</si>
  <si>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M³</t>
  </si>
  <si>
    <t>mês 1
SET21</t>
  </si>
  <si>
    <t>mês 2
OUT21</t>
  </si>
  <si>
    <t>mês 3
NOV21</t>
  </si>
  <si>
    <t>mês 4
DEZ21</t>
  </si>
  <si>
    <t>BM 05 - 01 A 31/jan/2022</t>
  </si>
  <si>
    <t>até dia 20</t>
  </si>
  <si>
    <t>7,14+2,47*50</t>
  </si>
  <si>
    <t>Reforço de tela duplicada</t>
  </si>
  <si>
    <t>mês 5
JAN22</t>
  </si>
  <si>
    <t>jan. 22</t>
  </si>
  <si>
    <t>dia 31</t>
  </si>
  <si>
    <t>BM 06 - 28/fev/2022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</si>
  <si>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</si>
  <si>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</si>
  <si>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</si>
  <si>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</si>
  <si>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</si>
  <si>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</si>
  <si>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</si>
  <si>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</si>
  <si>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</si>
  <si>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</si>
  <si>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</si>
  <si>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</si>
  <si>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</si>
  <si>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</si>
  <si>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1</t>
  </si>
  <si>
    <t>ÁREA ET 2</t>
  </si>
  <si>
    <t>BM 06 - 01 a 28 fev 2022</t>
  </si>
  <si>
    <t>ETAPAS 1 2 e3</t>
  </si>
  <si>
    <t>MEDIDAS</t>
  </si>
  <si>
    <t>QUANTIDADES</t>
  </si>
  <si>
    <t>SUB TOTAL</t>
  </si>
  <si>
    <t>Até jan22</t>
  </si>
  <si>
    <t>Acum. Fev/22</t>
  </si>
  <si>
    <t>A medir</t>
  </si>
  <si>
    <t>BM 06 - 01 A 28/fev/2022</t>
  </si>
  <si>
    <t>BM 06 - 01 A 28/fev./2022</t>
  </si>
  <si>
    <t>BOLETIM DE MEDIÇÃO BM07 - 01 a 31 março 2022</t>
  </si>
  <si>
    <t>MÊS 07
,MARÇO 2022</t>
  </si>
  <si>
    <t>mês 6
FEV 22</t>
  </si>
  <si>
    <t>mês 7
MAR 22</t>
  </si>
  <si>
    <t>Demolição de argamassa</t>
  </si>
  <si>
    <t>Esp.(m)</t>
  </si>
  <si>
    <t>ÁREA(M²)</t>
  </si>
  <si>
    <t>PERÍODO DE REFERÊNCIA DA MEDIÇÃO ATUAL: 01 a 31 MAR 2022</t>
  </si>
  <si>
    <t>Parede 4</t>
  </si>
  <si>
    <t>Shiller Terreo</t>
  </si>
  <si>
    <t>BM 07</t>
  </si>
  <si>
    <t>Área shiller terreo</t>
  </si>
  <si>
    <t>mês mar22</t>
  </si>
  <si>
    <t>4,00m x 4,00m x 6cm</t>
  </si>
  <si>
    <t>Parede shiller terreo</t>
  </si>
  <si>
    <t>13,70m x 5,4m *6cm</t>
  </si>
  <si>
    <t>PERÍODO DE REFERÊNCIA DA MEDIÇÃO ATUAL: 01 a 31 mar 2022</t>
  </si>
  <si>
    <t>PERÍODO DE REFERÊNCIA DA MEDIÇÃO ATUAL: 01  a 31 mar 2022</t>
  </si>
  <si>
    <t>MEMÓRIA DE CÁLCULO DO BOLETIM MENSAL DE MEDIÇÃO DOS SERVIÇOS - BM07</t>
  </si>
  <si>
    <t>REPLAN 1</t>
  </si>
  <si>
    <t>Set/21 - mar/22</t>
  </si>
  <si>
    <t>Out/21 - mar/22</t>
  </si>
  <si>
    <t>Nov/21 - mar/22</t>
  </si>
  <si>
    <t>Jan/22 - mar/22</t>
  </si>
  <si>
    <t>fev/22 - mar/22</t>
  </si>
  <si>
    <t>ÁREA SHILLER - TÉRREO</t>
  </si>
  <si>
    <t>Calculo de comprimento</t>
  </si>
  <si>
    <t>ETAPA 5</t>
  </si>
  <si>
    <t>MEMÓRIA DE CÁLCULO DO BOLETIM MENSAL DE MEDIÇÃO DOS SERVIÇOS  BM07</t>
  </si>
  <si>
    <t>BM 07 - 31/mar/2022</t>
  </si>
  <si>
    <t>Medição atual BM07</t>
  </si>
  <si>
    <t>Mes MAR/22</t>
  </si>
  <si>
    <t>ÁREA SHILLER TÉRREO</t>
  </si>
  <si>
    <t>Acum. Mar/22</t>
  </si>
</sst>
</file>

<file path=xl/styles.xml><?xml version="1.0" encoding="utf-8"?>
<styleSheet xmlns="http://schemas.openxmlformats.org/spreadsheetml/2006/main">
  <numFmts count="23">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 numFmtId="182" formatCode="0.00000"/>
  </numFmts>
  <fonts count="65">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color theme="0"/>
      <name val="Arial Narrow"/>
      <family val="2"/>
    </font>
  </fonts>
  <fills count="30">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00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73">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 fontId="0" fillId="0" borderId="25" xfId="0" applyNumberFormat="1" applyBorder="1"/>
    <xf numFmtId="0" fontId="0" fillId="0" borderId="25" xfId="0" applyBorder="1" applyAlignment="1">
      <alignment vertical="center"/>
    </xf>
    <xf numFmtId="0" fontId="0" fillId="0" borderId="25" xfId="0" applyBorder="1" applyAlignment="1">
      <alignment horizontal="right" vertical="center"/>
    </xf>
    <xf numFmtId="43" fontId="0" fillId="0" borderId="25" xfId="0" applyNumberFormat="1" applyBorder="1" applyAlignment="1">
      <alignment horizontal="right" vertical="center"/>
    </xf>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30" fillId="27" borderId="32" xfId="116" applyFont="1" applyFill="1" applyBorder="1" applyAlignment="1">
      <alignment vertical="center"/>
    </xf>
    <xf numFmtId="43" fontId="31" fillId="27" borderId="33" xfId="116" applyFont="1" applyFill="1" applyBorder="1" applyAlignment="1">
      <alignment horizontal="center" vertical="center"/>
    </xf>
    <xf numFmtId="43" fontId="0" fillId="0" borderId="25" xfId="0" applyNumberFormat="1" applyBorder="1" applyAlignment="1">
      <alignment vertical="center"/>
    </xf>
    <xf numFmtId="2"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0" fillId="0" borderId="0" xfId="0" applyAlignment="1">
      <alignment horizontal="center" vertical="center"/>
    </xf>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8" borderId="25" xfId="0" applyFont="1" applyFill="1" applyBorder="1" applyAlignment="1">
      <alignment horizontal="center"/>
    </xf>
    <xf numFmtId="0" fontId="56" fillId="28"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0" fontId="0" fillId="0" borderId="21" xfId="0" applyBorder="1"/>
    <xf numFmtId="43" fontId="0" fillId="0" borderId="21" xfId="0" applyNumberFormat="1" applyBorder="1" applyAlignment="1">
      <alignment vertical="center"/>
    </xf>
    <xf numFmtId="43" fontId="0" fillId="0" borderId="0" xfId="0" applyNumberFormat="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center"/>
    </xf>
    <xf numFmtId="43" fontId="0" fillId="2" borderId="25" xfId="116" applyFont="1" applyFill="1" applyBorder="1" applyAlignment="1">
      <alignment horizontal="center" vertical="center"/>
    </xf>
    <xf numFmtId="0" fontId="56" fillId="2" borderId="25" xfId="0" applyFont="1" applyFill="1" applyBorder="1" applyAlignment="1">
      <alignment horizontal="center"/>
    </xf>
    <xf numFmtId="43" fontId="56" fillId="2" borderId="25" xfId="116" applyFont="1" applyFill="1" applyBorder="1" applyAlignment="1">
      <alignment horizontal="center" vertical="center"/>
    </xf>
    <xf numFmtId="43" fontId="56" fillId="2" borderId="25" xfId="0" applyNumberFormat="1" applyFont="1" applyFill="1" applyBorder="1" applyAlignment="1">
      <alignment vertical="center"/>
    </xf>
    <xf numFmtId="0" fontId="56" fillId="2" borderId="25" xfId="0" applyFont="1" applyFill="1" applyBorder="1" applyAlignment="1">
      <alignment horizontal="center" vertical="center"/>
    </xf>
    <xf numFmtId="17" fontId="60" fillId="0" borderId="25" xfId="0" applyNumberFormat="1" applyFont="1" applyBorder="1" applyAlignment="1">
      <alignment horizontal="center" vertical="center"/>
    </xf>
    <xf numFmtId="0" fontId="61" fillId="0" borderId="25" xfId="0" applyFont="1" applyBorder="1" applyAlignment="1">
      <alignment horizontal="center"/>
    </xf>
    <xf numFmtId="43" fontId="0" fillId="2" borderId="25" xfId="0" applyNumberFormat="1" applyFill="1" applyBorder="1"/>
    <xf numFmtId="17" fontId="0" fillId="0" borderId="25" xfId="0" applyNumberFormat="1" applyBorder="1" applyAlignment="1">
      <alignment horizontal="center"/>
    </xf>
    <xf numFmtId="0" fontId="56" fillId="2" borderId="25" xfId="0" applyFont="1" applyFill="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0" fontId="0" fillId="0" borderId="25" xfId="0" applyBorder="1" applyAlignment="1">
      <alignment horizontal="center"/>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0" fontId="63" fillId="0" borderId="25" xfId="0" applyFont="1" applyBorder="1"/>
    <xf numFmtId="43" fontId="64" fillId="29" borderId="32" xfId="116" applyFont="1" applyFill="1" applyBorder="1" applyAlignment="1">
      <alignment vertical="center"/>
    </xf>
    <xf numFmtId="49" fontId="53" fillId="24" borderId="0" xfId="0" applyNumberFormat="1" applyFont="1" applyFill="1" applyBorder="1" applyAlignment="1">
      <alignment vertical="center"/>
    </xf>
    <xf numFmtId="177" fontId="5" fillId="24" borderId="12" xfId="0" applyNumberFormat="1" applyFont="1" applyFill="1" applyBorder="1" applyAlignment="1">
      <alignment vertical="center"/>
    </xf>
    <xf numFmtId="182" fontId="0" fillId="0" borderId="0" xfId="0" applyNumberFormat="1"/>
    <xf numFmtId="0" fontId="63" fillId="0" borderId="25" xfId="0" applyFont="1" applyBorder="1" applyAlignment="1">
      <alignment horizontal="center" vertical="center"/>
    </xf>
    <xf numFmtId="0" fontId="63"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17" fontId="58" fillId="0" borderId="0" xfId="0" applyNumberFormat="1" applyFont="1"/>
    <xf numFmtId="181" fontId="56" fillId="0" borderId="0" xfId="0" applyNumberFormat="1" applyFont="1"/>
    <xf numFmtId="43" fontId="31" fillId="0" borderId="24" xfId="116" applyFont="1" applyBorder="1" applyAlignment="1">
      <alignment vertical="center"/>
    </xf>
    <xf numFmtId="43" fontId="31" fillId="2" borderId="24" xfId="116" applyFont="1" applyFill="1" applyBorder="1" applyAlignment="1">
      <alignment vertical="center"/>
    </xf>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xf>
    <xf numFmtId="0" fontId="30" fillId="26" borderId="35" xfId="0" applyFont="1" applyFill="1" applyBorder="1" applyAlignment="1">
      <alignment horizontal="center" vertical="center"/>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30" fillId="26" borderId="39" xfId="0"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43" fontId="56" fillId="28" borderId="25" xfId="116" applyFont="1" applyFill="1" applyBorder="1" applyAlignment="1">
      <alignment horizontal="center" vertical="center"/>
    </xf>
    <xf numFmtId="0" fontId="62" fillId="0" borderId="25" xfId="0" applyFont="1" applyBorder="1" applyAlignment="1">
      <alignment horizontal="center"/>
    </xf>
    <xf numFmtId="43" fontId="0" fillId="0" borderId="10" xfId="116" applyFont="1" applyBorder="1" applyAlignment="1">
      <alignment horizontal="center"/>
    </xf>
    <xf numFmtId="43" fontId="0" fillId="0" borderId="11" xfId="116" applyFont="1" applyBorder="1" applyAlignment="1">
      <alignment horizont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47" fillId="24" borderId="12" xfId="0" applyNumberFormat="1" applyFont="1" applyFill="1" applyBorder="1" applyAlignment="1">
      <alignment horizontal="center" vertical="center" wrapText="1"/>
    </xf>
    <xf numFmtId="177" fontId="47" fillId="24" borderId="0" xfId="0" applyNumberFormat="1" applyFont="1" applyFill="1" applyBorder="1" applyAlignment="1">
      <alignment horizontal="center" vertical="center" wrapText="1"/>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0" fontId="0" fillId="0" borderId="25" xfId="0" applyBorder="1" applyAlignment="1">
      <alignment horizontal="left" vertical="center"/>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1143000</xdr:colOff>
      <xdr:row>58</xdr:row>
      <xdr:rowOff>174625</xdr:rowOff>
    </xdr:from>
    <xdr:to>
      <xdr:col>1</xdr:col>
      <xdr:colOff>2014804</xdr:colOff>
      <xdr:row>58</xdr:row>
      <xdr:rowOff>662347</xdr:rowOff>
    </xdr:to>
    <xdr:pic>
      <xdr:nvPicPr>
        <xdr:cNvPr id="3" name="Imagem 2">
          <a:extLst>
            <a:ext uri="{FF2B5EF4-FFF2-40B4-BE49-F238E27FC236}">
              <a16:creationId xmlns:a16="http://schemas.microsoft.com/office/drawing/2014/main" xmlns="" id="{E9D22906-571E-492F-B694-57DFD7CE94F9}"/>
            </a:ext>
          </a:extLst>
        </xdr:cNvPr>
        <xdr:cNvPicPr>
          <a:picLocks noChangeAspect="1"/>
        </xdr:cNvPicPr>
      </xdr:nvPicPr>
      <xdr:blipFill>
        <a:blip xmlns:r="http://schemas.openxmlformats.org/officeDocument/2006/relationships" r:embed="rId2"/>
        <a:stretch>
          <a:fillRect/>
        </a:stretch>
      </xdr:blipFill>
      <xdr:spPr>
        <a:xfrm>
          <a:off x="1476375" y="19780250"/>
          <a:ext cx="871804" cy="487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561975</xdr:colOff>
      <xdr:row>21</xdr:row>
      <xdr:rowOff>123825</xdr:rowOff>
    </xdr:from>
    <xdr:to>
      <xdr:col>4</xdr:col>
      <xdr:colOff>180574</xdr:colOff>
      <xdr:row>48</xdr:row>
      <xdr:rowOff>84989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1381125" y="4733925"/>
          <a:ext cx="3209524" cy="58857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0</xdr:col>
      <xdr:colOff>542925</xdr:colOff>
      <xdr:row>30</xdr:row>
      <xdr:rowOff>133350</xdr:rowOff>
    </xdr:from>
    <xdr:to>
      <xdr:col>6</xdr:col>
      <xdr:colOff>654699</xdr:colOff>
      <xdr:row>45</xdr:row>
      <xdr:rowOff>100890</xdr:rowOff>
    </xdr:to>
    <xdr:pic>
      <xdr:nvPicPr>
        <xdr:cNvPr id="2" name="Imagem 1">
          <a:extLst>
            <a:ext uri="{FF2B5EF4-FFF2-40B4-BE49-F238E27FC236}">
              <a16:creationId xmlns:a16="http://schemas.microsoft.com/office/drawing/2014/main" xmlns="" id="{8DC78EB4-DFE6-415F-9141-C9FDCA80ED9F}"/>
            </a:ext>
          </a:extLst>
        </xdr:cNvPr>
        <xdr:cNvPicPr>
          <a:picLocks noChangeAspect="1"/>
        </xdr:cNvPicPr>
      </xdr:nvPicPr>
      <xdr:blipFill>
        <a:blip xmlns:r="http://schemas.openxmlformats.org/officeDocument/2006/relationships" r:embed="rId2"/>
        <a:stretch>
          <a:fillRect/>
        </a:stretch>
      </xdr:blipFill>
      <xdr:spPr>
        <a:xfrm>
          <a:off x="542925" y="6448425"/>
          <a:ext cx="6017274" cy="3529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53</xdr:row>
      <xdr:rowOff>190500</xdr:rowOff>
    </xdr:from>
    <xdr:to>
      <xdr:col>7</xdr:col>
      <xdr:colOff>392125</xdr:colOff>
      <xdr:row>56</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twoCellAnchor editAs="oneCell">
    <xdr:from>
      <xdr:col>1</xdr:col>
      <xdr:colOff>9525</xdr:colOff>
      <xdr:row>40</xdr:row>
      <xdr:rowOff>55789</xdr:rowOff>
    </xdr:from>
    <xdr:to>
      <xdr:col>6</xdr:col>
      <xdr:colOff>200024</xdr:colOff>
      <xdr:row>56</xdr:row>
      <xdr:rowOff>142875</xdr:rowOff>
    </xdr:to>
    <xdr:pic>
      <xdr:nvPicPr>
        <xdr:cNvPr id="4" name="Imagem 3">
          <a:extLst>
            <a:ext uri="{FF2B5EF4-FFF2-40B4-BE49-F238E27FC236}">
              <a16:creationId xmlns:a16="http://schemas.microsoft.com/office/drawing/2014/main" xmlns="" id="{87C81B9F-909D-4870-AD79-EA58A35D8B8D}"/>
            </a:ext>
          </a:extLst>
        </xdr:cNvPr>
        <xdr:cNvPicPr>
          <a:picLocks noChangeAspect="1"/>
        </xdr:cNvPicPr>
      </xdr:nvPicPr>
      <xdr:blipFill>
        <a:blip xmlns:r="http://schemas.openxmlformats.org/officeDocument/2006/relationships" r:embed="rId2"/>
        <a:stretch>
          <a:fillRect/>
        </a:stretch>
      </xdr:blipFill>
      <xdr:spPr>
        <a:xfrm>
          <a:off x="828675" y="8475889"/>
          <a:ext cx="4991099" cy="32208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59</xdr:row>
      <xdr:rowOff>125916</xdr:rowOff>
    </xdr:from>
    <xdr:to>
      <xdr:col>7</xdr:col>
      <xdr:colOff>171450</xdr:colOff>
      <xdr:row>61</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twoCellAnchor editAs="oneCell">
    <xdr:from>
      <xdr:col>0</xdr:col>
      <xdr:colOff>560381</xdr:colOff>
      <xdr:row>40</xdr:row>
      <xdr:rowOff>76200</xdr:rowOff>
    </xdr:from>
    <xdr:to>
      <xdr:col>6</xdr:col>
      <xdr:colOff>599059</xdr:colOff>
      <xdr:row>58</xdr:row>
      <xdr:rowOff>164161</xdr:rowOff>
    </xdr:to>
    <xdr:pic>
      <xdr:nvPicPr>
        <xdr:cNvPr id="4" name="Imagem 3">
          <a:extLst>
            <a:ext uri="{FF2B5EF4-FFF2-40B4-BE49-F238E27FC236}">
              <a16:creationId xmlns:a16="http://schemas.microsoft.com/office/drawing/2014/main" xmlns="" id="{299AE1DB-40AB-415B-84F2-AFAF493BA10F}"/>
            </a:ext>
          </a:extLst>
        </xdr:cNvPr>
        <xdr:cNvPicPr>
          <a:picLocks noChangeAspect="1"/>
        </xdr:cNvPicPr>
      </xdr:nvPicPr>
      <xdr:blipFill>
        <a:blip xmlns:r="http://schemas.openxmlformats.org/officeDocument/2006/relationships" r:embed="rId2"/>
        <a:stretch>
          <a:fillRect/>
        </a:stretch>
      </xdr:blipFill>
      <xdr:spPr>
        <a:xfrm>
          <a:off x="560381" y="8496300"/>
          <a:ext cx="5687003" cy="36884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48</xdr:row>
      <xdr:rowOff>57150</xdr:rowOff>
    </xdr:from>
    <xdr:to>
      <xdr:col>7</xdr:col>
      <xdr:colOff>420700</xdr:colOff>
      <xdr:row>50</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twoCellAnchor editAs="oneCell">
    <xdr:from>
      <xdr:col>5</xdr:col>
      <xdr:colOff>152404</xdr:colOff>
      <xdr:row>25</xdr:row>
      <xdr:rowOff>32271</xdr:rowOff>
    </xdr:from>
    <xdr:to>
      <xdr:col>7</xdr:col>
      <xdr:colOff>257176</xdr:colOff>
      <xdr:row>47</xdr:row>
      <xdr:rowOff>165291</xdr:rowOff>
    </xdr:to>
    <xdr:pic>
      <xdr:nvPicPr>
        <xdr:cNvPr id="3" name="Imagem 2">
          <a:extLst>
            <a:ext uri="{FF2B5EF4-FFF2-40B4-BE49-F238E27FC236}">
              <a16:creationId xmlns:a16="http://schemas.microsoft.com/office/drawing/2014/main" xmlns="" id="{FB625F73-C35C-4AA2-BA43-5772843B78C2}"/>
            </a:ext>
          </a:extLst>
        </xdr:cNvPr>
        <xdr:cNvPicPr>
          <a:picLocks noChangeAspect="1"/>
        </xdr:cNvPicPr>
      </xdr:nvPicPr>
      <xdr:blipFill>
        <a:blip xmlns:r="http://schemas.openxmlformats.org/officeDocument/2006/relationships" r:embed="rId2"/>
        <a:stretch>
          <a:fillRect/>
        </a:stretch>
      </xdr:blipFill>
      <xdr:spPr>
        <a:xfrm rot="16200000">
          <a:off x="3976855" y="6494820"/>
          <a:ext cx="4009695" cy="15620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49</xdr:row>
      <xdr:rowOff>57150</xdr:rowOff>
    </xdr:from>
    <xdr:to>
      <xdr:col>6</xdr:col>
      <xdr:colOff>658825</xdr:colOff>
      <xdr:row>51</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1</xdr:col>
      <xdr:colOff>123825</xdr:colOff>
      <xdr:row>35</xdr:row>
      <xdr:rowOff>57149</xdr:rowOff>
    </xdr:from>
    <xdr:to>
      <xdr:col>4</xdr:col>
      <xdr:colOff>180975</xdr:colOff>
      <xdr:row>48</xdr:row>
      <xdr:rowOff>173235</xdr:rowOff>
    </xdr:to>
    <xdr:pic>
      <xdr:nvPicPr>
        <xdr:cNvPr id="3" name="Imagem 2">
          <a:extLst>
            <a:ext uri="{FF2B5EF4-FFF2-40B4-BE49-F238E27FC236}">
              <a16:creationId xmlns:a16="http://schemas.microsoft.com/office/drawing/2014/main" xmlns="" id="{49EDFB5A-E59B-4348-ABE4-61F18510A87E}"/>
            </a:ext>
          </a:extLst>
        </xdr:cNvPr>
        <xdr:cNvPicPr>
          <a:picLocks noChangeAspect="1"/>
        </xdr:cNvPicPr>
      </xdr:nvPicPr>
      <xdr:blipFill>
        <a:blip xmlns:r="http://schemas.openxmlformats.org/officeDocument/2006/relationships" r:embed="rId2"/>
        <a:stretch>
          <a:fillRect/>
        </a:stretch>
      </xdr:blipFill>
      <xdr:spPr>
        <a:xfrm>
          <a:off x="942975" y="7381874"/>
          <a:ext cx="3771900" cy="27164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51</xdr:row>
      <xdr:rowOff>66675</xdr:rowOff>
    </xdr:from>
    <xdr:to>
      <xdr:col>7</xdr:col>
      <xdr:colOff>96850</xdr:colOff>
      <xdr:row>53</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1</xdr:col>
      <xdr:colOff>438151</xdr:colOff>
      <xdr:row>35</xdr:row>
      <xdr:rowOff>28576</xdr:rowOff>
    </xdr:from>
    <xdr:to>
      <xdr:col>5</xdr:col>
      <xdr:colOff>495301</xdr:colOff>
      <xdr:row>50</xdr:row>
      <xdr:rowOff>168215</xdr:rowOff>
    </xdr:to>
    <xdr:pic>
      <xdr:nvPicPr>
        <xdr:cNvPr id="3" name="Imagem 2">
          <a:extLst>
            <a:ext uri="{FF2B5EF4-FFF2-40B4-BE49-F238E27FC236}">
              <a16:creationId xmlns:a16="http://schemas.microsoft.com/office/drawing/2014/main" xmlns="" id="{FF9A8775-DB1C-40F2-90E7-2D8FFA2404FC}"/>
            </a:ext>
          </a:extLst>
        </xdr:cNvPr>
        <xdr:cNvPicPr>
          <a:picLocks noChangeAspect="1"/>
        </xdr:cNvPicPr>
      </xdr:nvPicPr>
      <xdr:blipFill>
        <a:blip xmlns:r="http://schemas.openxmlformats.org/officeDocument/2006/relationships" r:embed="rId2"/>
        <a:stretch>
          <a:fillRect/>
        </a:stretch>
      </xdr:blipFill>
      <xdr:spPr>
        <a:xfrm>
          <a:off x="1257301" y="7496176"/>
          <a:ext cx="4286250" cy="309238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53</xdr:row>
      <xdr:rowOff>28575</xdr:rowOff>
    </xdr:from>
    <xdr:to>
      <xdr:col>7</xdr:col>
      <xdr:colOff>106375</xdr:colOff>
      <xdr:row>55</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1</xdr:col>
      <xdr:colOff>0</xdr:colOff>
      <xdr:row>40</xdr:row>
      <xdr:rowOff>28576</xdr:rowOff>
    </xdr:from>
    <xdr:to>
      <xdr:col>4</xdr:col>
      <xdr:colOff>419100</xdr:colOff>
      <xdr:row>52</xdr:row>
      <xdr:rowOff>183260</xdr:rowOff>
    </xdr:to>
    <xdr:pic>
      <xdr:nvPicPr>
        <xdr:cNvPr id="5" name="Imagem 4">
          <a:extLst>
            <a:ext uri="{FF2B5EF4-FFF2-40B4-BE49-F238E27FC236}">
              <a16:creationId xmlns:a16="http://schemas.microsoft.com/office/drawing/2014/main" xmlns="" id="{BBDE2FFF-5203-400B-8326-E35CDCB13232}"/>
            </a:ext>
          </a:extLst>
        </xdr:cNvPr>
        <xdr:cNvPicPr>
          <a:picLocks noChangeAspect="1"/>
        </xdr:cNvPicPr>
      </xdr:nvPicPr>
      <xdr:blipFill>
        <a:blip xmlns:r="http://schemas.openxmlformats.org/officeDocument/2006/relationships" r:embed="rId2"/>
        <a:stretch>
          <a:fillRect/>
        </a:stretch>
      </xdr:blipFill>
      <xdr:spPr>
        <a:xfrm>
          <a:off x="819150" y="7886701"/>
          <a:ext cx="4010025" cy="2554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53</xdr:row>
      <xdr:rowOff>28575</xdr:rowOff>
    </xdr:from>
    <xdr:to>
      <xdr:col>7</xdr:col>
      <xdr:colOff>106375</xdr:colOff>
      <xdr:row>55</xdr:row>
      <xdr:rowOff>125519</xdr:rowOff>
    </xdr:to>
    <xdr:pic>
      <xdr:nvPicPr>
        <xdr:cNvPr id="2" name="Imagem 1">
          <a:extLst>
            <a:ext uri="{FF2B5EF4-FFF2-40B4-BE49-F238E27FC236}">
              <a16:creationId xmlns:a16="http://schemas.microsoft.com/office/drawing/2014/main" xmlns="" id="{FFCD5F9C-6DF9-4ADF-8B7F-BBAF6FF72A5E}"/>
            </a:ext>
          </a:extLst>
        </xdr:cNvPr>
        <xdr:cNvPicPr>
          <a:picLocks noChangeAspect="1"/>
        </xdr:cNvPicPr>
      </xdr:nvPicPr>
      <xdr:blipFill>
        <a:blip xmlns:r="http://schemas.openxmlformats.org/officeDocument/2006/relationships" r:embed="rId1"/>
        <a:stretch>
          <a:fillRect/>
        </a:stretch>
      </xdr:blipFill>
      <xdr:spPr>
        <a:xfrm>
          <a:off x="5765800" y="10458450"/>
          <a:ext cx="874725" cy="487469"/>
        </a:xfrm>
        <a:prstGeom prst="rect">
          <a:avLst/>
        </a:prstGeom>
      </xdr:spPr>
    </xdr:pic>
    <xdr:clientData/>
  </xdr:twoCellAnchor>
  <xdr:twoCellAnchor editAs="oneCell">
    <xdr:from>
      <xdr:col>1</xdr:col>
      <xdr:colOff>1066801</xdr:colOff>
      <xdr:row>40</xdr:row>
      <xdr:rowOff>28575</xdr:rowOff>
    </xdr:from>
    <xdr:to>
      <xdr:col>5</xdr:col>
      <xdr:colOff>262862</xdr:colOff>
      <xdr:row>52</xdr:row>
      <xdr:rowOff>171450</xdr:rowOff>
    </xdr:to>
    <xdr:pic>
      <xdr:nvPicPr>
        <xdr:cNvPr id="3" name="Imagem 2">
          <a:extLst>
            <a:ext uri="{FF2B5EF4-FFF2-40B4-BE49-F238E27FC236}">
              <a16:creationId xmlns:a16="http://schemas.microsoft.com/office/drawing/2014/main" xmlns="" id="{FD20BF1E-8220-4A13-95F4-F6FA6F0E299D}"/>
            </a:ext>
          </a:extLst>
        </xdr:cNvPr>
        <xdr:cNvPicPr>
          <a:picLocks noChangeAspect="1"/>
        </xdr:cNvPicPr>
      </xdr:nvPicPr>
      <xdr:blipFill>
        <a:blip xmlns:r="http://schemas.openxmlformats.org/officeDocument/2006/relationships" r:embed="rId2"/>
        <a:stretch>
          <a:fillRect/>
        </a:stretch>
      </xdr:blipFill>
      <xdr:spPr>
        <a:xfrm>
          <a:off x="1790701" y="8058150"/>
          <a:ext cx="3568036" cy="2543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733424</xdr:colOff>
      <xdr:row>21</xdr:row>
      <xdr:rowOff>85725</xdr:rowOff>
    </xdr:from>
    <xdr:to>
      <xdr:col>6</xdr:col>
      <xdr:colOff>277086</xdr:colOff>
      <xdr:row>38</xdr:row>
      <xdr:rowOff>95250</xdr:rowOff>
    </xdr:to>
    <xdr:pic>
      <xdr:nvPicPr>
        <xdr:cNvPr id="5" name="Imagem 4">
          <a:extLst>
            <a:ext uri="{FF2B5EF4-FFF2-40B4-BE49-F238E27FC236}">
              <a16:creationId xmlns:a16="http://schemas.microsoft.com/office/drawing/2014/main" xmlns="" id="{C497F31B-A0E8-4EF2-9645-052BB9115A45}"/>
            </a:ext>
          </a:extLst>
        </xdr:cNvPr>
        <xdr:cNvPicPr>
          <a:picLocks noChangeAspect="1"/>
        </xdr:cNvPicPr>
      </xdr:nvPicPr>
      <xdr:blipFill>
        <a:blip xmlns:r="http://schemas.openxmlformats.org/officeDocument/2006/relationships" r:embed="rId2"/>
        <a:stretch>
          <a:fillRect/>
        </a:stretch>
      </xdr:blipFill>
      <xdr:spPr>
        <a:xfrm>
          <a:off x="733424" y="4686300"/>
          <a:ext cx="5134837" cy="3962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171449</xdr:colOff>
      <xdr:row>22</xdr:row>
      <xdr:rowOff>38099</xdr:rowOff>
    </xdr:from>
    <xdr:to>
      <xdr:col>5</xdr:col>
      <xdr:colOff>636871</xdr:colOff>
      <xdr:row>41</xdr:row>
      <xdr:rowOff>28575</xdr:rowOff>
    </xdr:to>
    <xdr:pic>
      <xdr:nvPicPr>
        <xdr:cNvPr id="4" name="Imagem 3">
          <a:extLst>
            <a:ext uri="{FF2B5EF4-FFF2-40B4-BE49-F238E27FC236}">
              <a16:creationId xmlns:a16="http://schemas.microsoft.com/office/drawing/2014/main" xmlns="" id="{03D3ED54-C992-440E-AAB6-8BA2FD80599D}"/>
            </a:ext>
          </a:extLst>
        </xdr:cNvPr>
        <xdr:cNvPicPr>
          <a:picLocks noChangeAspect="1"/>
        </xdr:cNvPicPr>
      </xdr:nvPicPr>
      <xdr:blipFill>
        <a:blip xmlns:r="http://schemas.openxmlformats.org/officeDocument/2006/relationships" r:embed="rId2"/>
        <a:stretch>
          <a:fillRect/>
        </a:stretch>
      </xdr:blipFill>
      <xdr:spPr>
        <a:xfrm>
          <a:off x="990599" y="4514849"/>
          <a:ext cx="4837397" cy="4333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0</xdr:col>
      <xdr:colOff>76201</xdr:colOff>
      <xdr:row>19</xdr:row>
      <xdr:rowOff>69871</xdr:rowOff>
    </xdr:from>
    <xdr:to>
      <xdr:col>6</xdr:col>
      <xdr:colOff>257176</xdr:colOff>
      <xdr:row>37</xdr:row>
      <xdr:rowOff>46838</xdr:rowOff>
    </xdr:to>
    <xdr:pic>
      <xdr:nvPicPr>
        <xdr:cNvPr id="2" name="Imagem 1">
          <a:extLst>
            <a:ext uri="{FF2B5EF4-FFF2-40B4-BE49-F238E27FC236}">
              <a16:creationId xmlns:a16="http://schemas.microsoft.com/office/drawing/2014/main" xmlns="" id="{C8114C36-98E9-48F9-89A2-3FB5EB9856F5}"/>
            </a:ext>
          </a:extLst>
        </xdr:cNvPr>
        <xdr:cNvPicPr>
          <a:picLocks noChangeAspect="1"/>
        </xdr:cNvPicPr>
      </xdr:nvPicPr>
      <xdr:blipFill>
        <a:blip xmlns:r="http://schemas.openxmlformats.org/officeDocument/2006/relationships" r:embed="rId2"/>
        <a:stretch>
          <a:fillRect/>
        </a:stretch>
      </xdr:blipFill>
      <xdr:spPr>
        <a:xfrm>
          <a:off x="76201" y="4289446"/>
          <a:ext cx="6019800" cy="3529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06%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07%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21">
          <cell r="K21">
            <v>49.22</v>
          </cell>
        </row>
      </sheetData>
      <sheetData sheetId="1">
        <row r="38">
          <cell r="C38">
            <v>91.417500000000004</v>
          </cell>
        </row>
        <row r="39">
          <cell r="C39">
            <v>170.01200000000003</v>
          </cell>
        </row>
        <row r="40">
          <cell r="C40">
            <v>133.50800000000001</v>
          </cell>
        </row>
        <row r="41">
          <cell r="C41">
            <v>538.995</v>
          </cell>
        </row>
        <row r="42">
          <cell r="C42">
            <v>133.50800000000001</v>
          </cell>
        </row>
        <row r="43">
          <cell r="C43">
            <v>170.01200000000003</v>
          </cell>
        </row>
        <row r="44">
          <cell r="C44">
            <v>91.417500000000004</v>
          </cell>
        </row>
        <row r="45">
          <cell r="C45">
            <v>150.52000000000001</v>
          </cell>
        </row>
        <row r="46">
          <cell r="C46">
            <v>73.378500000000003</v>
          </cell>
        </row>
        <row r="47">
          <cell r="C47">
            <v>45.49</v>
          </cell>
        </row>
        <row r="48">
          <cell r="C48">
            <v>292.00880000000001</v>
          </cell>
        </row>
        <row r="49">
          <cell r="C49">
            <v>158.72</v>
          </cell>
        </row>
        <row r="50">
          <cell r="C50">
            <v>77.38</v>
          </cell>
        </row>
      </sheetData>
      <sheetData sheetId="2" refreshError="1"/>
      <sheetData sheetId="3" refreshError="1"/>
      <sheetData sheetId="4" refreshError="1"/>
      <sheetData sheetId="5" refreshError="1"/>
      <sheetData sheetId="6">
        <row r="15">
          <cell r="C15">
            <v>91.417500000000004</v>
          </cell>
          <cell r="D15">
            <v>12.31</v>
          </cell>
        </row>
        <row r="16">
          <cell r="C16">
            <v>170.01200000000003</v>
          </cell>
          <cell r="D16">
            <v>22.98</v>
          </cell>
        </row>
        <row r="17">
          <cell r="C17">
            <v>133.50800000000001</v>
          </cell>
          <cell r="D17">
            <v>14.22</v>
          </cell>
        </row>
        <row r="18">
          <cell r="C18">
            <v>538.995</v>
          </cell>
          <cell r="D18">
            <v>66.98</v>
          </cell>
        </row>
        <row r="19">
          <cell r="C19">
            <v>133.50800000000001</v>
          </cell>
        </row>
        <row r="20">
          <cell r="C20">
            <v>170.01200000000003</v>
          </cell>
        </row>
        <row r="21">
          <cell r="C21">
            <v>91.417500000000004</v>
          </cell>
        </row>
        <row r="22">
          <cell r="C22">
            <v>150.52000000000001</v>
          </cell>
        </row>
        <row r="23">
          <cell r="C23">
            <v>73.378500000000003</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4">
          <cell r="M4">
            <v>13.23</v>
          </cell>
        </row>
        <row r="5">
          <cell r="M5">
            <v>24.78</v>
          </cell>
        </row>
        <row r="15">
          <cell r="K15">
            <v>150.52000000000001</v>
          </cell>
        </row>
        <row r="16">
          <cell r="K16">
            <v>73.378500000000003</v>
          </cell>
        </row>
        <row r="17">
          <cell r="L17">
            <v>20.16</v>
          </cell>
        </row>
        <row r="18">
          <cell r="K18">
            <v>292.00880000000001</v>
          </cell>
        </row>
        <row r="19">
          <cell r="K19">
            <v>158.72</v>
          </cell>
        </row>
        <row r="20">
          <cell r="K20">
            <v>77.38</v>
          </cell>
        </row>
        <row r="21">
          <cell r="L21">
            <v>20.16</v>
          </cell>
        </row>
        <row r="22">
          <cell r="K22">
            <v>288.44</v>
          </cell>
        </row>
        <row r="32">
          <cell r="K32">
            <v>124.91</v>
          </cell>
        </row>
      </sheetData>
      <sheetData sheetId="1">
        <row r="48">
          <cell r="C48">
            <v>292.00880000000001</v>
          </cell>
        </row>
        <row r="51">
          <cell r="C51">
            <v>20.16</v>
          </cell>
        </row>
      </sheetData>
      <sheetData sheetId="2">
        <row r="7">
          <cell r="D7">
            <v>73.510000000000005</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59"/>
  <sheetViews>
    <sheetView showGridLines="0" tabSelected="1" view="pageBreakPreview" topLeftCell="C1" zoomScale="60" workbookViewId="0">
      <selection activeCell="N1" sqref="N1:Y1048576"/>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19.85546875" style="31" bestFit="1" customWidth="1"/>
    <col min="11" max="11" width="11.140625" style="31" bestFit="1" customWidth="1"/>
    <col min="12" max="12" width="21.28515625" style="6" bestFit="1" customWidth="1"/>
    <col min="13" max="13" width="10.140625" style="6" bestFit="1" customWidth="1"/>
    <col min="14" max="14" width="10.42578125" style="122" hidden="1" customWidth="1"/>
    <col min="15" max="15" width="9.28515625" style="6" hidden="1" customWidth="1"/>
    <col min="16" max="16" width="13.42578125" style="31" hidden="1" customWidth="1"/>
    <col min="17" max="17" width="9.28515625" style="6" hidden="1" customWidth="1"/>
    <col min="18" max="18" width="10.42578125" style="6" hidden="1" customWidth="1"/>
    <col min="19" max="19" width="10.140625" style="6" hidden="1" customWidth="1"/>
    <col min="20" max="20" width="11.140625" style="6" hidden="1" customWidth="1"/>
    <col min="21" max="25" width="9.140625" style="6" hidden="1"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7" t="s">
        <v>184</v>
      </c>
      <c r="G1" s="107"/>
      <c r="H1" s="95"/>
      <c r="I1" s="95"/>
      <c r="J1" s="95"/>
      <c r="K1" s="95"/>
      <c r="L1" s="108"/>
      <c r="M1" s="109"/>
    </row>
    <row r="2" spans="1:27" ht="18" customHeight="1">
      <c r="A2" s="102"/>
      <c r="B2" s="296" t="s">
        <v>49</v>
      </c>
      <c r="C2" s="296"/>
      <c r="D2" s="296"/>
      <c r="E2" s="296"/>
      <c r="F2" s="296"/>
      <c r="G2" s="296"/>
      <c r="H2" s="296"/>
      <c r="I2" s="296"/>
      <c r="J2" s="296"/>
      <c r="K2" s="296"/>
      <c r="L2" s="296"/>
      <c r="M2" s="297"/>
    </row>
    <row r="3" spans="1:27" ht="15" customHeight="1">
      <c r="A3" s="32"/>
      <c r="B3" s="298" t="s">
        <v>6</v>
      </c>
      <c r="C3" s="298"/>
      <c r="D3" s="298"/>
      <c r="E3" s="298"/>
      <c r="F3" s="298"/>
      <c r="G3" s="298"/>
      <c r="H3" s="298"/>
      <c r="I3" s="298"/>
      <c r="J3" s="298"/>
      <c r="K3" s="298"/>
      <c r="L3" s="298"/>
      <c r="M3" s="299"/>
    </row>
    <row r="4" spans="1:27" ht="15" customHeight="1">
      <c r="A4" s="32"/>
      <c r="B4" s="298" t="s">
        <v>0</v>
      </c>
      <c r="C4" s="298"/>
      <c r="D4" s="298"/>
      <c r="E4" s="298"/>
      <c r="F4" s="298"/>
      <c r="G4" s="298"/>
      <c r="H4" s="298"/>
      <c r="I4" s="298"/>
      <c r="J4" s="298"/>
      <c r="K4" s="298"/>
      <c r="L4" s="298"/>
      <c r="M4" s="299"/>
      <c r="N4" s="146" t="s">
        <v>184</v>
      </c>
    </row>
    <row r="5" spans="1:27" ht="16.5" customHeight="1">
      <c r="A5" s="94"/>
      <c r="B5" s="298" t="s">
        <v>104</v>
      </c>
      <c r="C5" s="298"/>
      <c r="D5" s="298"/>
      <c r="E5" s="298"/>
      <c r="F5" s="298"/>
      <c r="G5" s="298"/>
      <c r="H5" s="298"/>
      <c r="I5" s="298"/>
      <c r="J5" s="298"/>
      <c r="K5" s="298"/>
      <c r="L5" s="298"/>
      <c r="M5" s="299"/>
    </row>
    <row r="6" spans="1:27" ht="8.25" customHeight="1">
      <c r="A6" s="300" t="s">
        <v>288</v>
      </c>
      <c r="B6" s="281"/>
      <c r="C6" s="281"/>
      <c r="D6" s="281"/>
      <c r="E6" s="281"/>
      <c r="F6" s="281"/>
      <c r="G6" s="281"/>
      <c r="H6" s="281"/>
      <c r="I6" s="281"/>
      <c r="J6" s="281"/>
      <c r="K6" s="281"/>
      <c r="L6" s="281"/>
      <c r="M6" s="281"/>
    </row>
    <row r="7" spans="1:27" ht="4.5" customHeight="1">
      <c r="A7" s="282"/>
      <c r="B7" s="282"/>
      <c r="C7" s="282"/>
      <c r="D7" s="282"/>
      <c r="E7" s="282"/>
      <c r="F7" s="282"/>
      <c r="G7" s="282"/>
      <c r="H7" s="282"/>
      <c r="I7" s="282"/>
      <c r="J7" s="282"/>
      <c r="K7" s="282"/>
      <c r="L7" s="282"/>
      <c r="M7" s="282"/>
    </row>
    <row r="8" spans="1:27" ht="16.5" customHeight="1">
      <c r="A8" s="280" t="s">
        <v>3</v>
      </c>
      <c r="B8" s="280" t="s">
        <v>4</v>
      </c>
      <c r="C8" s="280" t="s">
        <v>8</v>
      </c>
      <c r="D8" s="280" t="s">
        <v>229</v>
      </c>
      <c r="E8" s="293" t="s">
        <v>11</v>
      </c>
      <c r="F8" s="293" t="s">
        <v>228</v>
      </c>
      <c r="G8" s="285" t="s">
        <v>289</v>
      </c>
      <c r="H8" s="286"/>
      <c r="I8" s="285" t="s">
        <v>160</v>
      </c>
      <c r="J8" s="286"/>
      <c r="K8" s="302" t="s">
        <v>110</v>
      </c>
      <c r="L8" s="302"/>
      <c r="M8" s="302"/>
    </row>
    <row r="9" spans="1:27" ht="17.25" thickBot="1">
      <c r="A9" s="281"/>
      <c r="B9" s="281"/>
      <c r="C9" s="281"/>
      <c r="D9" s="281"/>
      <c r="E9" s="294"/>
      <c r="F9" s="294"/>
      <c r="G9" s="287"/>
      <c r="H9" s="288"/>
      <c r="I9" s="287"/>
      <c r="J9" s="288"/>
      <c r="K9" s="302"/>
      <c r="L9" s="302"/>
      <c r="M9" s="302"/>
    </row>
    <row r="10" spans="1:27" ht="30.75" customHeight="1">
      <c r="A10" s="282"/>
      <c r="B10" s="282"/>
      <c r="C10" s="282"/>
      <c r="D10" s="282"/>
      <c r="E10" s="295"/>
      <c r="F10" s="295"/>
      <c r="G10" s="110" t="s">
        <v>108</v>
      </c>
      <c r="H10" s="96" t="s">
        <v>109</v>
      </c>
      <c r="I10" s="110" t="s">
        <v>167</v>
      </c>
      <c r="J10" s="96" t="s">
        <v>166</v>
      </c>
      <c r="K10" s="96" t="s">
        <v>44</v>
      </c>
      <c r="L10" s="110" t="s">
        <v>111</v>
      </c>
      <c r="M10" s="110" t="s">
        <v>112</v>
      </c>
      <c r="N10" s="303" t="s">
        <v>250</v>
      </c>
      <c r="O10" s="301" t="s">
        <v>251</v>
      </c>
      <c r="P10" s="301" t="s">
        <v>252</v>
      </c>
      <c r="Q10" s="301" t="s">
        <v>253</v>
      </c>
      <c r="R10" s="301" t="s">
        <v>258</v>
      </c>
      <c r="S10" s="301" t="s">
        <v>290</v>
      </c>
      <c r="T10" s="301" t="s">
        <v>291</v>
      </c>
      <c r="U10" s="291" t="s">
        <v>161</v>
      </c>
      <c r="V10" s="291" t="s">
        <v>162</v>
      </c>
      <c r="W10" s="291" t="s">
        <v>163</v>
      </c>
      <c r="X10" s="291" t="s">
        <v>164</v>
      </c>
      <c r="Y10" s="291" t="s">
        <v>165</v>
      </c>
      <c r="Z10" s="278"/>
    </row>
    <row r="11" spans="1:27">
      <c r="A11" s="111">
        <v>1</v>
      </c>
      <c r="B11" s="112" t="s">
        <v>55</v>
      </c>
      <c r="C11" s="112"/>
      <c r="D11" s="113"/>
      <c r="E11" s="114"/>
      <c r="F11" s="97">
        <f>SUM(F12:F26)</f>
        <v>417241.25</v>
      </c>
      <c r="G11" s="115"/>
      <c r="H11" s="97">
        <f>TRUNC(SUM(H12:H26),2)</f>
        <v>24688.84</v>
      </c>
      <c r="I11" s="97"/>
      <c r="J11" s="97">
        <f>TRUNC(SUM(J12:J26),2)</f>
        <v>285763.71999999997</v>
      </c>
      <c r="K11" s="190"/>
      <c r="L11" s="97">
        <f>TRUNC(SUM(L12:L26),2)</f>
        <v>131477.45000000001</v>
      </c>
      <c r="M11" s="173">
        <f>(F11-J11)/F11</f>
        <v>0.31511153319572316</v>
      </c>
      <c r="N11" s="304"/>
      <c r="O11" s="292"/>
      <c r="P11" s="292"/>
      <c r="Q11" s="292"/>
      <c r="R11" s="292"/>
      <c r="S11" s="292"/>
      <c r="T11" s="292"/>
      <c r="U11" s="292"/>
      <c r="V11" s="292"/>
      <c r="W11" s="292"/>
      <c r="X11" s="292"/>
      <c r="Y11" s="292"/>
      <c r="Z11" s="279"/>
      <c r="AA11" s="214"/>
    </row>
    <row r="12" spans="1:27" ht="25.5">
      <c r="A12" s="117">
        <v>101</v>
      </c>
      <c r="B12" s="118" t="s">
        <v>56</v>
      </c>
      <c r="C12" s="117" t="s">
        <v>10</v>
      </c>
      <c r="D12" s="119">
        <v>1</v>
      </c>
      <c r="E12" s="98">
        <v>362.55</v>
      </c>
      <c r="F12" s="98">
        <f t="shared" ref="F12:F26" si="0">TRUNC(D12 * E12, 2)</f>
        <v>362.55</v>
      </c>
      <c r="G12" s="126">
        <f>T12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276">
        <v>1</v>
      </c>
      <c r="O12" s="181"/>
      <c r="P12" s="181"/>
      <c r="Q12" s="165"/>
      <c r="R12" s="263"/>
      <c r="S12" s="263"/>
      <c r="T12" s="192"/>
      <c r="U12" s="165"/>
      <c r="V12" s="165"/>
      <c r="W12" s="165"/>
      <c r="X12" s="165"/>
      <c r="Y12" s="165"/>
    </row>
    <row r="13" spans="1:27" ht="25.5">
      <c r="A13" s="117">
        <v>102</v>
      </c>
      <c r="B13" s="118" t="s">
        <v>57</v>
      </c>
      <c r="C13" s="117" t="s">
        <v>99</v>
      </c>
      <c r="D13" s="119">
        <v>4300</v>
      </c>
      <c r="E13" s="98">
        <v>14.19</v>
      </c>
      <c r="F13" s="98">
        <f t="shared" si="0"/>
        <v>61017</v>
      </c>
      <c r="G13" s="126">
        <f t="shared" ref="G13:G55" si="5">T13</f>
        <v>433.51000000000022</v>
      </c>
      <c r="H13" s="98">
        <f t="shared" si="1"/>
        <v>6151.5</v>
      </c>
      <c r="I13" s="101">
        <f t="shared" si="2"/>
        <v>2676.3672999999999</v>
      </c>
      <c r="J13" s="98">
        <f t="shared" si="3"/>
        <v>37977.65</v>
      </c>
      <c r="K13" s="99">
        <f t="shared" ref="K13:K55" si="6">D13-I13</f>
        <v>1623.6327000000001</v>
      </c>
      <c r="L13" s="98">
        <f t="shared" si="4"/>
        <v>23039.34</v>
      </c>
      <c r="M13" s="116">
        <f>(D13-I13)/D13</f>
        <v>0.37758900000000001</v>
      </c>
      <c r="N13" s="276">
        <v>264.18</v>
      </c>
      <c r="O13" s="182">
        <v>509.74</v>
      </c>
      <c r="P13" s="182">
        <v>262.74</v>
      </c>
      <c r="Q13" s="171">
        <v>211.01</v>
      </c>
      <c r="R13" s="263">
        <v>642.59730000000013</v>
      </c>
      <c r="S13" s="263">
        <v>352.58999999999969</v>
      </c>
      <c r="T13" s="192">
        <f>'102'!C19</f>
        <v>433.51000000000022</v>
      </c>
      <c r="U13" s="165"/>
      <c r="V13" s="165"/>
      <c r="W13" s="165"/>
      <c r="X13" s="165"/>
      <c r="Y13" s="165"/>
      <c r="Z13" s="212"/>
      <c r="AA13" s="213"/>
    </row>
    <row r="14" spans="1:27" ht="25.5">
      <c r="A14" s="117">
        <v>103</v>
      </c>
      <c r="B14" s="118" t="s">
        <v>58</v>
      </c>
      <c r="C14" s="117" t="s">
        <v>99</v>
      </c>
      <c r="D14" s="119">
        <v>4300</v>
      </c>
      <c r="E14" s="98">
        <v>1.94</v>
      </c>
      <c r="F14" s="98">
        <f t="shared" si="0"/>
        <v>8342</v>
      </c>
      <c r="G14" s="126">
        <f t="shared" si="5"/>
        <v>2676.3672999999999</v>
      </c>
      <c r="H14" s="98">
        <f t="shared" si="1"/>
        <v>5192.1499999999996</v>
      </c>
      <c r="I14" s="101">
        <f t="shared" si="2"/>
        <v>2676.3672999999999</v>
      </c>
      <c r="J14" s="98">
        <f t="shared" si="3"/>
        <v>5192.1499999999996</v>
      </c>
      <c r="K14" s="99">
        <f t="shared" si="6"/>
        <v>1623.6327000000001</v>
      </c>
      <c r="L14" s="98">
        <f t="shared" si="4"/>
        <v>3149.84</v>
      </c>
      <c r="M14" s="116">
        <f t="shared" ref="M14:M55" si="7">(D14-I14)/D14</f>
        <v>0.37758900000000001</v>
      </c>
      <c r="N14" s="276"/>
      <c r="O14" s="182"/>
      <c r="P14" s="182"/>
      <c r="Q14" s="171"/>
      <c r="R14" s="263"/>
      <c r="S14" s="263"/>
      <c r="T14" s="192">
        <f>'103'!C19</f>
        <v>2676.3672999999999</v>
      </c>
      <c r="U14" s="165"/>
      <c r="V14" s="165"/>
      <c r="W14" s="165"/>
      <c r="X14" s="165"/>
      <c r="Y14" s="165"/>
      <c r="Z14" s="212"/>
      <c r="AA14" s="213"/>
    </row>
    <row r="15" spans="1:27" ht="25.5">
      <c r="A15" s="117">
        <v>104</v>
      </c>
      <c r="B15" s="118" t="s">
        <v>59</v>
      </c>
      <c r="C15" s="117" t="s">
        <v>100</v>
      </c>
      <c r="D15" s="119">
        <v>1.32</v>
      </c>
      <c r="E15" s="98">
        <v>33.57</v>
      </c>
      <c r="F15" s="98">
        <f t="shared" si="0"/>
        <v>44.31</v>
      </c>
      <c r="G15" s="126">
        <f t="shared" si="5"/>
        <v>0</v>
      </c>
      <c r="H15" s="98">
        <f t="shared" si="1"/>
        <v>0</v>
      </c>
      <c r="I15" s="101">
        <f t="shared" si="2"/>
        <v>0</v>
      </c>
      <c r="J15" s="98">
        <f t="shared" si="3"/>
        <v>0</v>
      </c>
      <c r="K15" s="99">
        <f t="shared" si="6"/>
        <v>1.32</v>
      </c>
      <c r="L15" s="98">
        <f t="shared" si="4"/>
        <v>44.31</v>
      </c>
      <c r="M15" s="116">
        <f t="shared" si="7"/>
        <v>1</v>
      </c>
      <c r="N15" s="276"/>
      <c r="O15" s="182"/>
      <c r="P15" s="182"/>
      <c r="Q15" s="171"/>
      <c r="R15" s="263"/>
      <c r="S15" s="263"/>
      <c r="T15" s="192"/>
      <c r="U15" s="165"/>
      <c r="V15" s="165"/>
      <c r="W15" s="165"/>
      <c r="X15" s="165"/>
      <c r="Y15" s="165"/>
    </row>
    <row r="16" spans="1:27" ht="25.5">
      <c r="A16" s="117">
        <v>105</v>
      </c>
      <c r="B16" s="118" t="s">
        <v>60</v>
      </c>
      <c r="C16" s="117" t="s">
        <v>100</v>
      </c>
      <c r="D16" s="119">
        <v>220</v>
      </c>
      <c r="E16" s="98">
        <v>35.14</v>
      </c>
      <c r="F16" s="98">
        <f t="shared" si="0"/>
        <v>7730.8</v>
      </c>
      <c r="G16" s="126">
        <f t="shared" si="5"/>
        <v>15.48</v>
      </c>
      <c r="H16" s="98">
        <f t="shared" si="1"/>
        <v>543.96</v>
      </c>
      <c r="I16" s="101">
        <f t="shared" si="2"/>
        <v>65.939621000000002</v>
      </c>
      <c r="J16" s="98">
        <f t="shared" si="3"/>
        <v>2317.11</v>
      </c>
      <c r="K16" s="99">
        <f t="shared" si="6"/>
        <v>154.06037900000001</v>
      </c>
      <c r="L16" s="98">
        <f t="shared" si="4"/>
        <v>5413.68</v>
      </c>
      <c r="M16" s="116">
        <f t="shared" si="7"/>
        <v>0.7002744500000001</v>
      </c>
      <c r="N16" s="276">
        <v>2.641896</v>
      </c>
      <c r="O16" s="182">
        <v>12.79</v>
      </c>
      <c r="P16" s="182">
        <v>7.72</v>
      </c>
      <c r="Q16" s="171">
        <v>4.7477249999999991</v>
      </c>
      <c r="R16" s="263">
        <v>5.31</v>
      </c>
      <c r="S16" s="263">
        <v>17.25</v>
      </c>
      <c r="T16" s="192">
        <f>'105'!C19</f>
        <v>15.48</v>
      </c>
      <c r="U16" s="165"/>
      <c r="V16" s="165"/>
      <c r="W16" s="165"/>
      <c r="X16" s="165"/>
      <c r="Y16" s="165"/>
    </row>
    <row r="17" spans="1:29" ht="25.5">
      <c r="A17" s="117">
        <v>106</v>
      </c>
      <c r="B17" s="118" t="s">
        <v>61</v>
      </c>
      <c r="C17" s="117" t="s">
        <v>99</v>
      </c>
      <c r="D17" s="119">
        <v>287.10000000000002</v>
      </c>
      <c r="E17" s="98">
        <v>97.42</v>
      </c>
      <c r="F17" s="98">
        <f t="shared" si="0"/>
        <v>27969.279999999999</v>
      </c>
      <c r="G17" s="126">
        <f t="shared" si="5"/>
        <v>0</v>
      </c>
      <c r="H17" s="98">
        <f t="shared" si="1"/>
        <v>0</v>
      </c>
      <c r="I17" s="101">
        <f t="shared" si="2"/>
        <v>139.17500000000001</v>
      </c>
      <c r="J17" s="98">
        <f t="shared" si="3"/>
        <v>13558.42</v>
      </c>
      <c r="K17" s="99">
        <f t="shared" si="6"/>
        <v>147.92500000000001</v>
      </c>
      <c r="L17" s="98">
        <f t="shared" si="4"/>
        <v>14410.85</v>
      </c>
      <c r="M17" s="116">
        <f t="shared" si="7"/>
        <v>0.51523859282479967</v>
      </c>
      <c r="N17" s="276">
        <v>92.625000000000014</v>
      </c>
      <c r="O17" s="182">
        <v>0</v>
      </c>
      <c r="P17" s="182"/>
      <c r="Q17" s="171">
        <v>7.4</v>
      </c>
      <c r="R17" s="263">
        <v>15.549999999999997</v>
      </c>
      <c r="S17" s="263">
        <v>23.6</v>
      </c>
      <c r="T17" s="192"/>
      <c r="U17" s="165"/>
      <c r="V17" s="165"/>
      <c r="W17" s="165"/>
      <c r="X17" s="165"/>
      <c r="Y17" s="165"/>
    </row>
    <row r="18" spans="1:29">
      <c r="A18" s="117">
        <v>107</v>
      </c>
      <c r="B18" s="118" t="s">
        <v>62</v>
      </c>
      <c r="C18" s="117" t="s">
        <v>99</v>
      </c>
      <c r="D18" s="119">
        <v>7000</v>
      </c>
      <c r="E18" s="98">
        <v>19.59</v>
      </c>
      <c r="F18" s="98">
        <f t="shared" si="0"/>
        <v>137130</v>
      </c>
      <c r="G18" s="126">
        <f t="shared" si="5"/>
        <v>0</v>
      </c>
      <c r="H18" s="98">
        <f t="shared" si="1"/>
        <v>0</v>
      </c>
      <c r="I18" s="101">
        <f t="shared" si="2"/>
        <v>6174.1868000000004</v>
      </c>
      <c r="J18" s="98">
        <f t="shared" si="3"/>
        <v>120952.31</v>
      </c>
      <c r="K18" s="99">
        <f t="shared" si="6"/>
        <v>825.8131999999996</v>
      </c>
      <c r="L18" s="98">
        <f t="shared" si="4"/>
        <v>16177.68</v>
      </c>
      <c r="M18" s="116">
        <f t="shared" si="7"/>
        <v>0.11797331428571423</v>
      </c>
      <c r="N18" s="276">
        <v>2317.0776300000002</v>
      </c>
      <c r="O18" s="182"/>
      <c r="P18" s="182">
        <v>1435.6091700000002</v>
      </c>
      <c r="Q18" s="171"/>
      <c r="R18" s="263">
        <v>480.5</v>
      </c>
      <c r="S18" s="263">
        <v>1941</v>
      </c>
      <c r="T18" s="192"/>
      <c r="U18" s="165"/>
      <c r="V18" s="165"/>
      <c r="W18" s="165"/>
      <c r="X18" s="165"/>
      <c r="Y18" s="165"/>
    </row>
    <row r="19" spans="1:29" ht="38.25">
      <c r="A19" s="117">
        <v>108</v>
      </c>
      <c r="B19" s="118" t="s">
        <v>63</v>
      </c>
      <c r="C19" s="117" t="s">
        <v>101</v>
      </c>
      <c r="D19" s="119">
        <v>1200</v>
      </c>
      <c r="E19" s="98">
        <v>1.1399999999999999</v>
      </c>
      <c r="F19" s="98">
        <f t="shared" si="0"/>
        <v>1368</v>
      </c>
      <c r="G19" s="126">
        <f t="shared" si="5"/>
        <v>168.84</v>
      </c>
      <c r="H19" s="98">
        <f t="shared" si="1"/>
        <v>192.47</v>
      </c>
      <c r="I19" s="101">
        <f t="shared" si="2"/>
        <v>1181.8800000000001</v>
      </c>
      <c r="J19" s="98">
        <f t="shared" si="3"/>
        <v>1347.34</v>
      </c>
      <c r="K19" s="99">
        <f t="shared" si="6"/>
        <v>18.119999999999891</v>
      </c>
      <c r="L19" s="98">
        <f t="shared" si="4"/>
        <v>20.65</v>
      </c>
      <c r="M19" s="116">
        <f t="shared" si="7"/>
        <v>1.5099999999999909E-2</v>
      </c>
      <c r="N19" s="276">
        <v>168.84</v>
      </c>
      <c r="O19" s="182">
        <v>168.84</v>
      </c>
      <c r="P19" s="182">
        <v>168.84</v>
      </c>
      <c r="Q19" s="171">
        <v>168.84</v>
      </c>
      <c r="R19" s="263">
        <v>168.84</v>
      </c>
      <c r="S19" s="263">
        <v>168.84</v>
      </c>
      <c r="T19" s="192">
        <f>'108'!C19</f>
        <v>168.84</v>
      </c>
      <c r="U19" s="165"/>
      <c r="V19" s="165"/>
      <c r="W19" s="165"/>
      <c r="X19" s="165"/>
      <c r="Y19" s="165"/>
    </row>
    <row r="20" spans="1:29" ht="63" customHeight="1">
      <c r="A20" s="117">
        <v>109</v>
      </c>
      <c r="B20" s="118" t="s">
        <v>64</v>
      </c>
      <c r="C20" s="117" t="s">
        <v>99</v>
      </c>
      <c r="D20" s="119">
        <v>1200</v>
      </c>
      <c r="E20" s="98">
        <v>8.06</v>
      </c>
      <c r="F20" s="98">
        <f t="shared" si="0"/>
        <v>9672</v>
      </c>
      <c r="G20" s="126">
        <f t="shared" si="5"/>
        <v>168.84</v>
      </c>
      <c r="H20" s="98">
        <f t="shared" si="1"/>
        <v>1360.85</v>
      </c>
      <c r="I20" s="101">
        <f t="shared" si="2"/>
        <v>1181.8800000000001</v>
      </c>
      <c r="J20" s="98">
        <f t="shared" si="3"/>
        <v>9525.9500000000007</v>
      </c>
      <c r="K20" s="99">
        <f t="shared" si="6"/>
        <v>18.119999999999891</v>
      </c>
      <c r="L20" s="98">
        <f t="shared" si="4"/>
        <v>146.04</v>
      </c>
      <c r="M20" s="116">
        <f t="shared" si="7"/>
        <v>1.5099999999999909E-2</v>
      </c>
      <c r="N20" s="276">
        <v>168.84</v>
      </c>
      <c r="O20" s="182">
        <v>168.84</v>
      </c>
      <c r="P20" s="182">
        <v>168.84</v>
      </c>
      <c r="Q20" s="171">
        <v>168.84</v>
      </c>
      <c r="R20" s="263">
        <v>168.84</v>
      </c>
      <c r="S20" s="263">
        <v>168.84</v>
      </c>
      <c r="T20" s="192">
        <f>'109'!C19</f>
        <v>168.84</v>
      </c>
      <c r="U20" s="165"/>
      <c r="V20" s="165"/>
      <c r="W20" s="165"/>
      <c r="X20" s="165"/>
      <c r="Y20" s="165"/>
    </row>
    <row r="21" spans="1:29" ht="39" customHeight="1">
      <c r="A21" s="117">
        <v>110</v>
      </c>
      <c r="B21" s="118" t="s">
        <v>65</v>
      </c>
      <c r="C21" s="117" t="s">
        <v>10</v>
      </c>
      <c r="D21" s="172">
        <v>3</v>
      </c>
      <c r="E21" s="98">
        <v>1137.42</v>
      </c>
      <c r="F21" s="98">
        <f t="shared" si="0"/>
        <v>3412.26</v>
      </c>
      <c r="G21" s="126" t="str">
        <f t="shared" si="5"/>
        <v>REPLAN 1</v>
      </c>
      <c r="H21" s="98"/>
      <c r="I21" s="101">
        <f t="shared" si="2"/>
        <v>3</v>
      </c>
      <c r="J21" s="98">
        <f t="shared" si="3"/>
        <v>3412.26</v>
      </c>
      <c r="K21" s="99">
        <f t="shared" si="6"/>
        <v>0</v>
      </c>
      <c r="L21" s="98">
        <f t="shared" si="4"/>
        <v>0</v>
      </c>
      <c r="M21" s="116">
        <f t="shared" si="7"/>
        <v>0</v>
      </c>
      <c r="N21" s="276">
        <v>3</v>
      </c>
      <c r="O21" s="182">
        <v>0</v>
      </c>
      <c r="P21" s="182">
        <v>0</v>
      </c>
      <c r="Q21" s="171">
        <v>0</v>
      </c>
      <c r="R21" s="263"/>
      <c r="S21" s="263"/>
      <c r="T21" s="266" t="s">
        <v>307</v>
      </c>
      <c r="U21" s="165"/>
      <c r="V21" s="165"/>
      <c r="W21" s="165"/>
      <c r="X21" s="165"/>
      <c r="Y21" s="165"/>
    </row>
    <row r="22" spans="1:29" ht="51">
      <c r="A22" s="117">
        <v>111</v>
      </c>
      <c r="B22" s="118" t="s">
        <v>66</v>
      </c>
      <c r="C22" s="117" t="s">
        <v>102</v>
      </c>
      <c r="D22" s="172">
        <v>18</v>
      </c>
      <c r="E22" s="98">
        <v>774.87</v>
      </c>
      <c r="F22" s="98">
        <f t="shared" si="0"/>
        <v>13947.66</v>
      </c>
      <c r="G22" s="126">
        <f t="shared" si="5"/>
        <v>1</v>
      </c>
      <c r="H22" s="98">
        <f t="shared" si="1"/>
        <v>774.87</v>
      </c>
      <c r="I22" s="101">
        <f t="shared" si="2"/>
        <v>5</v>
      </c>
      <c r="J22" s="98">
        <f t="shared" si="3"/>
        <v>3874.35</v>
      </c>
      <c r="K22" s="99">
        <f t="shared" si="6"/>
        <v>13</v>
      </c>
      <c r="L22" s="98">
        <f t="shared" si="4"/>
        <v>10073.31</v>
      </c>
      <c r="M22" s="116">
        <f t="shared" si="7"/>
        <v>0.72222222222222221</v>
      </c>
      <c r="N22" s="276"/>
      <c r="O22" s="182"/>
      <c r="P22" s="182">
        <v>1</v>
      </c>
      <c r="Q22" s="171">
        <v>1</v>
      </c>
      <c r="R22" s="263">
        <v>1</v>
      </c>
      <c r="S22" s="263">
        <v>1</v>
      </c>
      <c r="T22" s="192">
        <v>1</v>
      </c>
      <c r="U22" s="165"/>
      <c r="V22" s="165"/>
      <c r="W22" s="165"/>
      <c r="X22" s="165"/>
      <c r="Y22" s="165"/>
    </row>
    <row r="23" spans="1:29" ht="38.25">
      <c r="A23" s="117">
        <v>112</v>
      </c>
      <c r="B23" s="118" t="s">
        <v>67</v>
      </c>
      <c r="C23" s="117" t="s">
        <v>102</v>
      </c>
      <c r="D23" s="172">
        <v>18</v>
      </c>
      <c r="E23" s="98">
        <v>334.35</v>
      </c>
      <c r="F23" s="98">
        <f t="shared" si="0"/>
        <v>6018.3</v>
      </c>
      <c r="G23" s="126" t="str">
        <f t="shared" si="5"/>
        <v>REPLAN 1</v>
      </c>
      <c r="H23" s="98"/>
      <c r="I23" s="101">
        <f t="shared" si="2"/>
        <v>18</v>
      </c>
      <c r="J23" s="98">
        <f t="shared" si="3"/>
        <v>6018.3</v>
      </c>
      <c r="K23" s="99">
        <f t="shared" si="6"/>
        <v>0</v>
      </c>
      <c r="L23" s="98">
        <f t="shared" si="4"/>
        <v>0</v>
      </c>
      <c r="M23" s="116">
        <f t="shared" si="7"/>
        <v>0</v>
      </c>
      <c r="N23" s="276">
        <v>3</v>
      </c>
      <c r="O23" s="182">
        <v>8</v>
      </c>
      <c r="P23" s="182">
        <v>8</v>
      </c>
      <c r="Q23" s="171">
        <v>-1</v>
      </c>
      <c r="R23" s="263"/>
      <c r="S23" s="263"/>
      <c r="T23" s="266" t="s">
        <v>307</v>
      </c>
      <c r="U23" s="165"/>
      <c r="V23" s="165"/>
      <c r="W23" s="165"/>
      <c r="X23" s="165"/>
      <c r="Y23" s="165"/>
    </row>
    <row r="24" spans="1:29" ht="25.5">
      <c r="A24" s="117">
        <v>113</v>
      </c>
      <c r="B24" s="120" t="s">
        <v>68</v>
      </c>
      <c r="C24" s="117" t="s">
        <v>10</v>
      </c>
      <c r="D24" s="119">
        <v>10</v>
      </c>
      <c r="E24" s="98">
        <v>140</v>
      </c>
      <c r="F24" s="98">
        <f t="shared" si="0"/>
        <v>1400</v>
      </c>
      <c r="G24" s="126">
        <f t="shared" si="5"/>
        <v>0</v>
      </c>
      <c r="H24" s="98">
        <f t="shared" si="1"/>
        <v>0</v>
      </c>
      <c r="I24" s="101">
        <f t="shared" si="2"/>
        <v>0</v>
      </c>
      <c r="J24" s="98">
        <f t="shared" si="3"/>
        <v>0</v>
      </c>
      <c r="K24" s="99">
        <f t="shared" si="6"/>
        <v>10</v>
      </c>
      <c r="L24" s="98">
        <f t="shared" si="4"/>
        <v>1400</v>
      </c>
      <c r="M24" s="116">
        <f t="shared" si="7"/>
        <v>1</v>
      </c>
      <c r="N24" s="276"/>
      <c r="O24" s="182"/>
      <c r="P24" s="182"/>
      <c r="Q24" s="171"/>
      <c r="R24" s="263"/>
      <c r="S24" s="263"/>
      <c r="T24" s="192"/>
      <c r="U24" s="165"/>
      <c r="V24" s="165"/>
      <c r="W24" s="165"/>
      <c r="X24" s="165"/>
      <c r="Y24" s="165"/>
    </row>
    <row r="25" spans="1:29">
      <c r="A25" s="117">
        <v>114</v>
      </c>
      <c r="B25" s="118" t="s">
        <v>69</v>
      </c>
      <c r="C25" s="117" t="s">
        <v>10</v>
      </c>
      <c r="D25" s="119">
        <v>1</v>
      </c>
      <c r="E25" s="98">
        <v>130913.09</v>
      </c>
      <c r="F25" s="98">
        <f t="shared" si="0"/>
        <v>130913.09</v>
      </c>
      <c r="G25" s="126">
        <f t="shared" si="5"/>
        <v>0.08</v>
      </c>
      <c r="H25" s="98">
        <f t="shared" si="1"/>
        <v>10473.040000000001</v>
      </c>
      <c r="I25" s="101">
        <f t="shared" si="2"/>
        <v>0.55999999999999006</v>
      </c>
      <c r="J25" s="98">
        <f t="shared" si="3"/>
        <v>73311.33</v>
      </c>
      <c r="K25" s="99">
        <f t="shared" si="6"/>
        <v>0.44000000000000994</v>
      </c>
      <c r="L25" s="98">
        <f t="shared" si="4"/>
        <v>57601.75</v>
      </c>
      <c r="M25" s="116">
        <f t="shared" si="7"/>
        <v>0.44000000000000994</v>
      </c>
      <c r="N25" s="276">
        <v>8.3333333333329998E-2</v>
      </c>
      <c r="O25" s="182">
        <v>8.3333333333329998E-2</v>
      </c>
      <c r="P25" s="182">
        <v>8.3333333333329998E-2</v>
      </c>
      <c r="Q25" s="171">
        <v>7.0000000000000007E-2</v>
      </c>
      <c r="R25" s="263">
        <v>0.08</v>
      </c>
      <c r="S25" s="263">
        <v>0.08</v>
      </c>
      <c r="T25" s="192">
        <f>'114'!C19</f>
        <v>0.08</v>
      </c>
      <c r="U25" s="165"/>
      <c r="V25" s="165"/>
      <c r="W25" s="165"/>
      <c r="X25" s="165"/>
      <c r="Y25" s="165"/>
    </row>
    <row r="26" spans="1:29">
      <c r="A26" s="117">
        <v>115</v>
      </c>
      <c r="B26" s="118" t="s">
        <v>70</v>
      </c>
      <c r="C26" s="117" t="s">
        <v>10</v>
      </c>
      <c r="D26" s="119">
        <v>20</v>
      </c>
      <c r="E26" s="98">
        <v>395.7</v>
      </c>
      <c r="F26" s="98">
        <f t="shared" si="0"/>
        <v>7914</v>
      </c>
      <c r="G26" s="126">
        <f t="shared" si="5"/>
        <v>0</v>
      </c>
      <c r="H26" s="98">
        <f t="shared" si="1"/>
        <v>0</v>
      </c>
      <c r="I26" s="101">
        <f t="shared" si="2"/>
        <v>20</v>
      </c>
      <c r="J26" s="98">
        <f t="shared" si="3"/>
        <v>7914</v>
      </c>
      <c r="K26" s="99">
        <f t="shared" si="6"/>
        <v>0</v>
      </c>
      <c r="L26" s="98">
        <f t="shared" si="4"/>
        <v>0</v>
      </c>
      <c r="M26" s="116">
        <f t="shared" si="7"/>
        <v>0</v>
      </c>
      <c r="N26" s="276">
        <v>13</v>
      </c>
      <c r="O26" s="182">
        <v>7</v>
      </c>
      <c r="P26" s="182">
        <v>0</v>
      </c>
      <c r="Q26" s="171">
        <v>0</v>
      </c>
      <c r="R26" s="263"/>
      <c r="S26" s="263"/>
      <c r="T26" s="192"/>
      <c r="U26" s="165"/>
      <c r="V26" s="165"/>
      <c r="W26" s="165"/>
      <c r="X26" s="165"/>
      <c r="Y26" s="165"/>
    </row>
    <row r="27" spans="1:29">
      <c r="A27" s="111">
        <v>2</v>
      </c>
      <c r="B27" s="112" t="s">
        <v>71</v>
      </c>
      <c r="C27" s="112"/>
      <c r="D27" s="113"/>
      <c r="E27" s="114"/>
      <c r="F27" s="114">
        <f>SUM(F28:F38)</f>
        <v>1113209.6499999999</v>
      </c>
      <c r="G27" s="115"/>
      <c r="H27" s="97">
        <f>TRUNC(SUM(H28:H38),2)</f>
        <v>148498.54999999999</v>
      </c>
      <c r="I27" s="97"/>
      <c r="J27" s="97">
        <f>TRUNC(SUM(J28:J38),2)</f>
        <v>606738.32999999996</v>
      </c>
      <c r="K27" s="191"/>
      <c r="L27" s="97">
        <f>TRUNC(SUM(L28:L38),2)</f>
        <v>506471.27</v>
      </c>
      <c r="M27" s="116"/>
      <c r="N27" s="277"/>
      <c r="O27" s="204"/>
      <c r="P27" s="204"/>
      <c r="Q27" s="205"/>
      <c r="R27" s="205"/>
      <c r="S27" s="206"/>
      <c r="T27" s="205"/>
      <c r="U27" s="206"/>
      <c r="V27" s="206"/>
      <c r="W27" s="206"/>
      <c r="X27" s="206"/>
      <c r="Y27" s="206"/>
      <c r="AA27" s="214"/>
    </row>
    <row r="28" spans="1:29" ht="63.75">
      <c r="A28" s="117">
        <v>201</v>
      </c>
      <c r="B28" s="118" t="s">
        <v>72</v>
      </c>
      <c r="C28" s="117" t="s">
        <v>99</v>
      </c>
      <c r="D28" s="119">
        <v>4300</v>
      </c>
      <c r="E28" s="98">
        <v>5.3</v>
      </c>
      <c r="F28" s="98">
        <f t="shared" ref="F28:F38" si="8">TRUNC(D28 * E28, 2)</f>
        <v>22790</v>
      </c>
      <c r="G28" s="126">
        <f t="shared" si="5"/>
        <v>644.27729999999997</v>
      </c>
      <c r="H28" s="98">
        <f t="shared" ref="H28:H38" si="9">TRUNC(G28*E28,2)</f>
        <v>3414.66</v>
      </c>
      <c r="I28" s="99">
        <f t="shared" ref="I28:I38" si="10">SUM(N28:Y28)</f>
        <v>2651.0348999999997</v>
      </c>
      <c r="J28" s="98">
        <f t="shared" ref="J28:J38" si="11">TRUNC(I28*E28,2)</f>
        <v>14050.48</v>
      </c>
      <c r="K28" s="99">
        <f t="shared" si="6"/>
        <v>1648.9651000000003</v>
      </c>
      <c r="L28" s="98">
        <f t="shared" ref="L28:L38" si="12">TRUNC(K28*E28,2)</f>
        <v>8739.51</v>
      </c>
      <c r="M28" s="116">
        <f t="shared" si="7"/>
        <v>0.38348025581395356</v>
      </c>
      <c r="N28" s="276"/>
      <c r="O28" s="182">
        <v>725.8</v>
      </c>
      <c r="P28" s="182"/>
      <c r="Q28" s="171">
        <v>558.1099999999999</v>
      </c>
      <c r="R28" s="264">
        <v>642.59730000000013</v>
      </c>
      <c r="S28" s="165">
        <v>80.250299999999925</v>
      </c>
      <c r="T28" s="193">
        <f>'201'!C19</f>
        <v>644.27729999999997</v>
      </c>
      <c r="U28" s="165"/>
      <c r="V28" s="165"/>
      <c r="W28" s="165"/>
      <c r="X28" s="165"/>
      <c r="Y28" s="165"/>
      <c r="Z28" s="212"/>
      <c r="AA28" s="213"/>
    </row>
    <row r="29" spans="1:29" ht="75" customHeight="1">
      <c r="A29" s="117">
        <v>202</v>
      </c>
      <c r="B29" s="118" t="s">
        <v>73</v>
      </c>
      <c r="C29" s="117" t="s">
        <v>99</v>
      </c>
      <c r="D29" s="119">
        <v>4300</v>
      </c>
      <c r="E29" s="98">
        <v>51.11</v>
      </c>
      <c r="F29" s="98">
        <f t="shared" si="8"/>
        <v>219773</v>
      </c>
      <c r="G29" s="126">
        <f t="shared" si="5"/>
        <v>644.28</v>
      </c>
      <c r="H29" s="98">
        <f t="shared" si="9"/>
        <v>32929.15</v>
      </c>
      <c r="I29" s="99">
        <f t="shared" si="10"/>
        <v>2651.0373</v>
      </c>
      <c r="J29" s="98">
        <f t="shared" si="11"/>
        <v>135494.51</v>
      </c>
      <c r="K29" s="99">
        <f t="shared" si="6"/>
        <v>1648.9627</v>
      </c>
      <c r="L29" s="98">
        <f t="shared" si="12"/>
        <v>84278.48</v>
      </c>
      <c r="M29" s="116">
        <f t="shared" si="7"/>
        <v>0.38347969767441864</v>
      </c>
      <c r="N29" s="276"/>
      <c r="O29" s="182">
        <v>681.34</v>
      </c>
      <c r="P29" s="182"/>
      <c r="Q29" s="171">
        <v>386.43999999999994</v>
      </c>
      <c r="R29" s="264">
        <v>484.98849999999993</v>
      </c>
      <c r="S29" s="165">
        <v>453.98880000000008</v>
      </c>
      <c r="T29" s="193">
        <f>'202'!C19</f>
        <v>644.28</v>
      </c>
      <c r="U29" s="165"/>
      <c r="V29" s="165"/>
      <c r="W29" s="165"/>
      <c r="X29" s="165"/>
      <c r="Y29" s="165"/>
      <c r="Z29" s="212"/>
      <c r="AA29" s="213"/>
      <c r="AC29" s="217"/>
    </row>
    <row r="30" spans="1:29">
      <c r="A30" s="117">
        <v>203</v>
      </c>
      <c r="B30" s="118" t="s">
        <v>198</v>
      </c>
      <c r="C30" s="117" t="s">
        <v>5</v>
      </c>
      <c r="D30" s="119">
        <v>950</v>
      </c>
      <c r="E30" s="98">
        <v>46.41</v>
      </c>
      <c r="F30" s="98">
        <f t="shared" si="8"/>
        <v>44089.5</v>
      </c>
      <c r="G30" s="126">
        <f t="shared" si="5"/>
        <v>88.37</v>
      </c>
      <c r="H30" s="98">
        <f t="shared" si="9"/>
        <v>4101.25</v>
      </c>
      <c r="I30" s="99">
        <f t="shared" si="10"/>
        <v>663.28000000000009</v>
      </c>
      <c r="J30" s="98">
        <f t="shared" si="11"/>
        <v>30782.82</v>
      </c>
      <c r="K30" s="99">
        <f t="shared" si="6"/>
        <v>286.71999999999991</v>
      </c>
      <c r="L30" s="98">
        <f t="shared" si="12"/>
        <v>13306.67</v>
      </c>
      <c r="M30" s="116">
        <f t="shared" si="7"/>
        <v>0.30181052631578936</v>
      </c>
      <c r="N30" s="276"/>
      <c r="O30" s="182">
        <v>235.35</v>
      </c>
      <c r="P30" s="182"/>
      <c r="Q30" s="171"/>
      <c r="R30" s="264">
        <v>22.949999999999989</v>
      </c>
      <c r="S30" s="165">
        <v>316.61000000000007</v>
      </c>
      <c r="T30" s="193">
        <f>'203'!C19</f>
        <v>88.37</v>
      </c>
      <c r="U30" s="165"/>
      <c r="V30" s="165"/>
      <c r="W30" s="165"/>
      <c r="X30" s="165"/>
      <c r="Y30" s="165"/>
      <c r="Z30" s="212"/>
    </row>
    <row r="31" spans="1:29" ht="38.25">
      <c r="A31" s="117">
        <v>204</v>
      </c>
      <c r="B31" s="118" t="s">
        <v>74</v>
      </c>
      <c r="C31" s="117" t="s">
        <v>99</v>
      </c>
      <c r="D31" s="119">
        <v>4150</v>
      </c>
      <c r="E31" s="98">
        <v>178.45</v>
      </c>
      <c r="F31" s="98">
        <f t="shared" si="8"/>
        <v>740567.5</v>
      </c>
      <c r="G31" s="126">
        <f t="shared" si="5"/>
        <v>548.26879999999983</v>
      </c>
      <c r="H31" s="98">
        <f t="shared" si="9"/>
        <v>97838.56</v>
      </c>
      <c r="I31" s="99">
        <f t="shared" si="10"/>
        <v>2217.5272999999997</v>
      </c>
      <c r="J31" s="98">
        <f t="shared" si="11"/>
        <v>395717.74</v>
      </c>
      <c r="K31" s="99">
        <f t="shared" si="6"/>
        <v>1932.4727000000003</v>
      </c>
      <c r="L31" s="98">
        <f t="shared" si="12"/>
        <v>344849.75</v>
      </c>
      <c r="M31" s="116">
        <f t="shared" si="7"/>
        <v>0.46565607228915668</v>
      </c>
      <c r="N31" s="276"/>
      <c r="O31" s="182"/>
      <c r="P31" s="182">
        <v>534.9</v>
      </c>
      <c r="Q31" s="171">
        <v>368.75</v>
      </c>
      <c r="R31" s="264">
        <v>425.21999999999991</v>
      </c>
      <c r="S31" s="165">
        <v>340.38850000000002</v>
      </c>
      <c r="T31" s="193">
        <f>'204'!C18</f>
        <v>548.26879999999983</v>
      </c>
      <c r="U31" s="165"/>
      <c r="V31" s="165"/>
      <c r="W31" s="165"/>
      <c r="X31" s="165"/>
      <c r="Y31" s="165"/>
      <c r="Z31" s="212"/>
      <c r="AA31" s="214"/>
      <c r="AC31" s="217"/>
    </row>
    <row r="32" spans="1:29" ht="51">
      <c r="A32" s="117">
        <v>205</v>
      </c>
      <c r="B32" s="118" t="s">
        <v>75</v>
      </c>
      <c r="C32" s="117" t="s">
        <v>99</v>
      </c>
      <c r="D32" s="119">
        <v>4150</v>
      </c>
      <c r="E32" s="98">
        <v>15.41</v>
      </c>
      <c r="F32" s="98">
        <f t="shared" si="8"/>
        <v>63951.5</v>
      </c>
      <c r="G32" s="126">
        <f t="shared" si="5"/>
        <v>662.87730000000033</v>
      </c>
      <c r="H32" s="98">
        <f t="shared" si="9"/>
        <v>10214.93</v>
      </c>
      <c r="I32" s="99">
        <f t="shared" si="10"/>
        <v>1991.7448000000002</v>
      </c>
      <c r="J32" s="98">
        <f t="shared" si="11"/>
        <v>30692.78</v>
      </c>
      <c r="K32" s="99">
        <f t="shared" si="6"/>
        <v>2158.2551999999996</v>
      </c>
      <c r="L32" s="98">
        <f t="shared" si="12"/>
        <v>33258.71</v>
      </c>
      <c r="M32" s="116">
        <f t="shared" si="7"/>
        <v>0.52006149397590351</v>
      </c>
      <c r="N32" s="276"/>
      <c r="O32" s="182"/>
      <c r="P32" s="182">
        <v>376</v>
      </c>
      <c r="Q32" s="171">
        <v>368.75</v>
      </c>
      <c r="R32" s="264">
        <v>189.18</v>
      </c>
      <c r="S32" s="165">
        <v>394.93749999999989</v>
      </c>
      <c r="T32" s="193">
        <f>'205'!C19</f>
        <v>662.87730000000033</v>
      </c>
      <c r="U32" s="165"/>
      <c r="V32" s="165"/>
      <c r="W32" s="165"/>
      <c r="X32" s="165"/>
      <c r="Y32" s="165"/>
      <c r="Z32" s="212"/>
      <c r="AA32" s="214"/>
    </row>
    <row r="33" spans="1:25" ht="38.25">
      <c r="A33" s="117">
        <v>206</v>
      </c>
      <c r="B33" s="118" t="s">
        <v>76</v>
      </c>
      <c r="C33" s="117" t="s">
        <v>5</v>
      </c>
      <c r="D33" s="119">
        <v>300</v>
      </c>
      <c r="E33" s="98">
        <v>17.29</v>
      </c>
      <c r="F33" s="98">
        <f t="shared" si="8"/>
        <v>5187</v>
      </c>
      <c r="G33" s="126">
        <f t="shared" si="5"/>
        <v>0</v>
      </c>
      <c r="H33" s="98">
        <f t="shared" si="9"/>
        <v>0</v>
      </c>
      <c r="I33" s="99">
        <f t="shared" si="10"/>
        <v>0</v>
      </c>
      <c r="J33" s="98">
        <f t="shared" si="11"/>
        <v>0</v>
      </c>
      <c r="K33" s="99">
        <f t="shared" si="6"/>
        <v>300</v>
      </c>
      <c r="L33" s="98">
        <f t="shared" si="12"/>
        <v>5187</v>
      </c>
      <c r="M33" s="116">
        <f t="shared" si="7"/>
        <v>1</v>
      </c>
      <c r="N33" s="276"/>
      <c r="O33" s="182"/>
      <c r="P33" s="182"/>
      <c r="Q33" s="171"/>
      <c r="R33" s="264"/>
      <c r="S33" s="165"/>
      <c r="T33" s="193"/>
      <c r="U33" s="165"/>
      <c r="V33" s="165"/>
      <c r="W33" s="165"/>
      <c r="X33" s="165"/>
      <c r="Y33" s="165"/>
    </row>
    <row r="34" spans="1:25" ht="25.5">
      <c r="A34" s="117">
        <v>207</v>
      </c>
      <c r="B34" s="118" t="s">
        <v>77</v>
      </c>
      <c r="C34" s="117" t="s">
        <v>99</v>
      </c>
      <c r="D34" s="119">
        <v>500</v>
      </c>
      <c r="E34" s="98">
        <v>15.94</v>
      </c>
      <c r="F34" s="98">
        <f t="shared" si="8"/>
        <v>7970</v>
      </c>
      <c r="G34" s="126">
        <f t="shared" si="5"/>
        <v>0</v>
      </c>
      <c r="H34" s="98">
        <f t="shared" si="9"/>
        <v>0</v>
      </c>
      <c r="I34" s="99">
        <f t="shared" si="10"/>
        <v>0</v>
      </c>
      <c r="J34" s="98">
        <f t="shared" si="11"/>
        <v>0</v>
      </c>
      <c r="K34" s="99">
        <f t="shared" si="6"/>
        <v>500</v>
      </c>
      <c r="L34" s="98">
        <f t="shared" si="12"/>
        <v>7970</v>
      </c>
      <c r="M34" s="116">
        <f t="shared" si="7"/>
        <v>1</v>
      </c>
      <c r="N34" s="276"/>
      <c r="O34" s="182"/>
      <c r="P34" s="182"/>
      <c r="Q34" s="171"/>
      <c r="R34" s="264"/>
      <c r="S34" s="165"/>
      <c r="T34" s="193"/>
      <c r="U34" s="165"/>
      <c r="V34" s="165"/>
      <c r="W34" s="165"/>
      <c r="X34" s="165"/>
      <c r="Y34" s="165"/>
    </row>
    <row r="35" spans="1:25" ht="38.25">
      <c r="A35" s="117">
        <v>208</v>
      </c>
      <c r="B35" s="118" t="s">
        <v>78</v>
      </c>
      <c r="C35" s="117" t="s">
        <v>10</v>
      </c>
      <c r="D35" s="119">
        <v>100</v>
      </c>
      <c r="E35" s="98">
        <v>16.11</v>
      </c>
      <c r="F35" s="98">
        <f t="shared" si="8"/>
        <v>1611</v>
      </c>
      <c r="G35" s="126">
        <f t="shared" si="5"/>
        <v>0</v>
      </c>
      <c r="H35" s="98">
        <f t="shared" si="9"/>
        <v>0</v>
      </c>
      <c r="I35" s="99">
        <f t="shared" si="10"/>
        <v>0</v>
      </c>
      <c r="J35" s="98">
        <f t="shared" si="11"/>
        <v>0</v>
      </c>
      <c r="K35" s="99">
        <f t="shared" si="6"/>
        <v>100</v>
      </c>
      <c r="L35" s="98">
        <f t="shared" si="12"/>
        <v>1611</v>
      </c>
      <c r="M35" s="116">
        <f t="shared" si="7"/>
        <v>1</v>
      </c>
      <c r="N35" s="276"/>
      <c r="O35" s="182"/>
      <c r="P35" s="182"/>
      <c r="Q35" s="171"/>
      <c r="R35" s="264"/>
      <c r="S35" s="165"/>
      <c r="T35" s="193"/>
      <c r="U35" s="165"/>
      <c r="V35" s="165"/>
      <c r="W35" s="165"/>
      <c r="X35" s="165"/>
      <c r="Y35" s="165"/>
    </row>
    <row r="36" spans="1:25" ht="25.5">
      <c r="A36" s="117">
        <v>209</v>
      </c>
      <c r="B36" s="120" t="s">
        <v>79</v>
      </c>
      <c r="C36" s="117" t="s">
        <v>10</v>
      </c>
      <c r="D36" s="119">
        <v>7</v>
      </c>
      <c r="E36" s="98">
        <v>81.45</v>
      </c>
      <c r="F36" s="98">
        <f t="shared" si="8"/>
        <v>570.15</v>
      </c>
      <c r="G36" s="126">
        <f t="shared" si="5"/>
        <v>0</v>
      </c>
      <c r="H36" s="98">
        <f t="shared" si="9"/>
        <v>0</v>
      </c>
      <c r="I36" s="99">
        <f t="shared" si="10"/>
        <v>0</v>
      </c>
      <c r="J36" s="98">
        <f t="shared" si="11"/>
        <v>0</v>
      </c>
      <c r="K36" s="99">
        <f t="shared" si="6"/>
        <v>7</v>
      </c>
      <c r="L36" s="98">
        <f t="shared" si="12"/>
        <v>570.15</v>
      </c>
      <c r="M36" s="116">
        <f t="shared" si="7"/>
        <v>1</v>
      </c>
      <c r="N36" s="276"/>
      <c r="O36" s="182"/>
      <c r="P36" s="182"/>
      <c r="Q36" s="171"/>
      <c r="R36" s="264"/>
      <c r="S36" s="165"/>
      <c r="T36" s="193"/>
      <c r="U36" s="165"/>
      <c r="V36" s="165"/>
      <c r="W36" s="165"/>
      <c r="X36" s="165"/>
      <c r="Y36" s="165"/>
    </row>
    <row r="37" spans="1:25" ht="25.5">
      <c r="A37" s="117">
        <v>210</v>
      </c>
      <c r="B37" s="118" t="s">
        <v>80</v>
      </c>
      <c r="C37" s="117" t="s">
        <v>99</v>
      </c>
      <c r="D37" s="119">
        <v>400</v>
      </c>
      <c r="E37" s="98">
        <v>8.82</v>
      </c>
      <c r="F37" s="98">
        <f t="shared" si="8"/>
        <v>3528</v>
      </c>
      <c r="G37" s="126">
        <f t="shared" si="5"/>
        <v>0</v>
      </c>
      <c r="H37" s="98">
        <f t="shared" si="9"/>
        <v>0</v>
      </c>
      <c r="I37" s="99">
        <f t="shared" si="10"/>
        <v>0</v>
      </c>
      <c r="J37" s="98">
        <f t="shared" si="11"/>
        <v>0</v>
      </c>
      <c r="K37" s="99">
        <f t="shared" si="6"/>
        <v>400</v>
      </c>
      <c r="L37" s="98">
        <f t="shared" si="12"/>
        <v>3528</v>
      </c>
      <c r="M37" s="116">
        <f t="shared" si="7"/>
        <v>1</v>
      </c>
      <c r="N37" s="276"/>
      <c r="O37" s="182"/>
      <c r="P37" s="182"/>
      <c r="Q37" s="171"/>
      <c r="R37" s="264"/>
      <c r="S37" s="165"/>
      <c r="T37" s="193"/>
      <c r="U37" s="165"/>
      <c r="V37" s="165"/>
      <c r="W37" s="165"/>
      <c r="X37" s="165"/>
      <c r="Y37" s="165"/>
    </row>
    <row r="38" spans="1:25" ht="25.5">
      <c r="A38" s="117">
        <v>211</v>
      </c>
      <c r="B38" s="118" t="s">
        <v>81</v>
      </c>
      <c r="C38" s="117" t="s">
        <v>103</v>
      </c>
      <c r="D38" s="119">
        <v>400</v>
      </c>
      <c r="E38" s="98">
        <v>7.93</v>
      </c>
      <c r="F38" s="98">
        <f t="shared" si="8"/>
        <v>3172</v>
      </c>
      <c r="G38" s="126">
        <f t="shared" si="5"/>
        <v>0</v>
      </c>
      <c r="H38" s="98">
        <f t="shared" si="9"/>
        <v>0</v>
      </c>
      <c r="I38" s="99">
        <f t="shared" si="10"/>
        <v>0</v>
      </c>
      <c r="J38" s="98">
        <f t="shared" si="11"/>
        <v>0</v>
      </c>
      <c r="K38" s="99">
        <f t="shared" si="6"/>
        <v>400</v>
      </c>
      <c r="L38" s="98">
        <f t="shared" si="12"/>
        <v>3172</v>
      </c>
      <c r="M38" s="116">
        <f t="shared" si="7"/>
        <v>1</v>
      </c>
      <c r="N38" s="276"/>
      <c r="O38" s="182"/>
      <c r="P38" s="182"/>
      <c r="Q38" s="171"/>
      <c r="R38" s="264"/>
      <c r="S38" s="165"/>
      <c r="T38" s="193"/>
      <c r="U38" s="165"/>
      <c r="V38" s="165"/>
      <c r="W38" s="165"/>
      <c r="X38" s="165"/>
      <c r="Y38" s="165"/>
    </row>
    <row r="39" spans="1:25">
      <c r="A39" s="111">
        <v>3</v>
      </c>
      <c r="B39" s="112" t="s">
        <v>82</v>
      </c>
      <c r="C39" s="112"/>
      <c r="D39" s="113"/>
      <c r="E39" s="114"/>
      <c r="F39" s="114">
        <f>SUM(F40:F45)</f>
        <v>175172.49000000002</v>
      </c>
      <c r="G39" s="115"/>
      <c r="H39" s="97">
        <f>TRUNC(SUM(H40:H45),2)</f>
        <v>0</v>
      </c>
      <c r="I39" s="97"/>
      <c r="J39" s="97">
        <f>TRUNC(SUM(J40:J45),2)</f>
        <v>0</v>
      </c>
      <c r="K39" s="190"/>
      <c r="L39" s="97">
        <f>TRUNC(SUM(L40:L45),2)</f>
        <v>175172.5</v>
      </c>
      <c r="M39" s="173"/>
      <c r="N39" s="277"/>
      <c r="O39" s="204"/>
      <c r="P39" s="204"/>
      <c r="Q39" s="205"/>
      <c r="R39" s="205"/>
      <c r="S39" s="206"/>
      <c r="T39" s="205"/>
      <c r="U39" s="206"/>
      <c r="V39" s="206"/>
      <c r="W39" s="206"/>
      <c r="X39" s="206"/>
      <c r="Y39" s="206"/>
    </row>
    <row r="40" spans="1:25">
      <c r="A40" s="117">
        <v>301</v>
      </c>
      <c r="B40" s="118" t="s">
        <v>83</v>
      </c>
      <c r="C40" s="117" t="s">
        <v>10</v>
      </c>
      <c r="D40" s="119">
        <v>22</v>
      </c>
      <c r="E40" s="98">
        <v>7050.34</v>
      </c>
      <c r="F40" s="98">
        <f t="shared" ref="F40:F45" si="13">TRUNC(D40 * E40, 2)</f>
        <v>155107.48000000001</v>
      </c>
      <c r="G40" s="126">
        <f t="shared" si="5"/>
        <v>0</v>
      </c>
      <c r="H40" s="98">
        <f t="shared" ref="H40:H45" si="14">TRUNC(G40*E40,2)</f>
        <v>0</v>
      </c>
      <c r="I40" s="99">
        <f t="shared" ref="I40:I45" si="15">SUM(N40:Y40)</f>
        <v>0</v>
      </c>
      <c r="J40" s="98">
        <f t="shared" ref="J40:J45" si="16">TRUNC(I40*E40,2)</f>
        <v>0</v>
      </c>
      <c r="K40" s="99">
        <f t="shared" si="6"/>
        <v>22</v>
      </c>
      <c r="L40" s="98">
        <f>TRUNC(K40*E40,2)</f>
        <v>155107.48000000001</v>
      </c>
      <c r="M40" s="116">
        <f t="shared" si="7"/>
        <v>1</v>
      </c>
      <c r="N40" s="276"/>
      <c r="O40" s="182"/>
      <c r="P40" s="182"/>
      <c r="Q40" s="264"/>
      <c r="R40" s="264"/>
      <c r="S40" s="165"/>
      <c r="T40" s="193"/>
      <c r="U40" s="165"/>
      <c r="V40" s="165"/>
      <c r="W40" s="165"/>
      <c r="X40" s="165"/>
      <c r="Y40" s="165"/>
    </row>
    <row r="41" spans="1:25" ht="38.25">
      <c r="A41" s="117">
        <v>302</v>
      </c>
      <c r="B41" s="118" t="s">
        <v>84</v>
      </c>
      <c r="C41" s="117" t="s">
        <v>99</v>
      </c>
      <c r="D41" s="119">
        <v>17.600000000000001</v>
      </c>
      <c r="E41" s="98">
        <v>380.81</v>
      </c>
      <c r="F41" s="98">
        <f t="shared" si="13"/>
        <v>6702.25</v>
      </c>
      <c r="G41" s="126">
        <f t="shared" si="5"/>
        <v>0</v>
      </c>
      <c r="H41" s="98">
        <f t="shared" si="14"/>
        <v>0</v>
      </c>
      <c r="I41" s="99">
        <f t="shared" si="15"/>
        <v>0</v>
      </c>
      <c r="J41" s="98">
        <f t="shared" si="16"/>
        <v>0</v>
      </c>
      <c r="K41" s="99">
        <f t="shared" si="6"/>
        <v>17.600000000000001</v>
      </c>
      <c r="L41" s="98">
        <f>TRUNC(K41*E41+0.01,2)</f>
        <v>6702.26</v>
      </c>
      <c r="M41" s="116">
        <f t="shared" si="7"/>
        <v>1</v>
      </c>
      <c r="N41" s="276"/>
      <c r="O41" s="182"/>
      <c r="P41" s="182"/>
      <c r="Q41" s="264"/>
      <c r="R41" s="264"/>
      <c r="S41" s="165"/>
      <c r="T41" s="193"/>
      <c r="U41" s="165"/>
      <c r="V41" s="165"/>
      <c r="W41" s="165"/>
      <c r="X41" s="165"/>
      <c r="Y41" s="165"/>
    </row>
    <row r="42" spans="1:25" ht="25.5">
      <c r="A42" s="117">
        <v>303</v>
      </c>
      <c r="B42" s="118" t="s">
        <v>85</v>
      </c>
      <c r="C42" s="117" t="s">
        <v>5</v>
      </c>
      <c r="D42" s="119">
        <v>130</v>
      </c>
      <c r="E42" s="98">
        <v>19.12</v>
      </c>
      <c r="F42" s="98">
        <f t="shared" si="13"/>
        <v>2485.6</v>
      </c>
      <c r="G42" s="126">
        <f t="shared" si="5"/>
        <v>0</v>
      </c>
      <c r="H42" s="98">
        <f t="shared" si="14"/>
        <v>0</v>
      </c>
      <c r="I42" s="99">
        <f t="shared" si="15"/>
        <v>0</v>
      </c>
      <c r="J42" s="98">
        <f t="shared" si="16"/>
        <v>0</v>
      </c>
      <c r="K42" s="99">
        <f t="shared" si="6"/>
        <v>130</v>
      </c>
      <c r="L42" s="98">
        <f>TRUNC(K42*E42,2)</f>
        <v>2485.6</v>
      </c>
      <c r="M42" s="116">
        <f t="shared" si="7"/>
        <v>1</v>
      </c>
      <c r="N42" s="276"/>
      <c r="O42" s="182"/>
      <c r="P42" s="182"/>
      <c r="Q42" s="264"/>
      <c r="R42" s="264"/>
      <c r="S42" s="165"/>
      <c r="T42" s="193"/>
      <c r="U42" s="165"/>
      <c r="V42" s="165"/>
      <c r="W42" s="165"/>
      <c r="X42" s="165"/>
      <c r="Y42" s="165"/>
    </row>
    <row r="43" spans="1:25" ht="38.25">
      <c r="A43" s="117">
        <v>304</v>
      </c>
      <c r="B43" s="118" t="s">
        <v>86</v>
      </c>
      <c r="C43" s="117" t="s">
        <v>5</v>
      </c>
      <c r="D43" s="119">
        <v>130</v>
      </c>
      <c r="E43" s="98">
        <v>7.74</v>
      </c>
      <c r="F43" s="98">
        <f t="shared" si="13"/>
        <v>1006.2</v>
      </c>
      <c r="G43" s="126">
        <f t="shared" si="5"/>
        <v>0</v>
      </c>
      <c r="H43" s="98">
        <f t="shared" si="14"/>
        <v>0</v>
      </c>
      <c r="I43" s="99">
        <f t="shared" si="15"/>
        <v>0</v>
      </c>
      <c r="J43" s="98">
        <f t="shared" si="16"/>
        <v>0</v>
      </c>
      <c r="K43" s="99">
        <f t="shared" si="6"/>
        <v>130</v>
      </c>
      <c r="L43" s="98">
        <f>TRUNC(K43*E43,2)</f>
        <v>1006.2</v>
      </c>
      <c r="M43" s="116">
        <f t="shared" si="7"/>
        <v>1</v>
      </c>
      <c r="N43" s="276"/>
      <c r="O43" s="182"/>
      <c r="P43" s="182"/>
      <c r="Q43" s="264"/>
      <c r="R43" s="264"/>
      <c r="S43" s="165"/>
      <c r="T43" s="193"/>
      <c r="U43" s="165"/>
      <c r="V43" s="165"/>
      <c r="W43" s="165"/>
      <c r="X43" s="165"/>
      <c r="Y43" s="165"/>
    </row>
    <row r="44" spans="1:25" ht="38.25">
      <c r="A44" s="117">
        <v>305</v>
      </c>
      <c r="B44" s="118" t="s">
        <v>87</v>
      </c>
      <c r="C44" s="117" t="s">
        <v>5</v>
      </c>
      <c r="D44" s="119">
        <v>132</v>
      </c>
      <c r="E44" s="98">
        <v>12.71</v>
      </c>
      <c r="F44" s="98">
        <f t="shared" si="13"/>
        <v>1677.72</v>
      </c>
      <c r="G44" s="126">
        <f t="shared" si="5"/>
        <v>0</v>
      </c>
      <c r="H44" s="98">
        <f t="shared" si="14"/>
        <v>0</v>
      </c>
      <c r="I44" s="99">
        <f t="shared" si="15"/>
        <v>0</v>
      </c>
      <c r="J44" s="98">
        <f t="shared" si="16"/>
        <v>0</v>
      </c>
      <c r="K44" s="99">
        <f t="shared" si="6"/>
        <v>132</v>
      </c>
      <c r="L44" s="98">
        <f>TRUNC(K44*E44,2)</f>
        <v>1677.72</v>
      </c>
      <c r="M44" s="116">
        <f t="shared" si="7"/>
        <v>1</v>
      </c>
      <c r="N44" s="276"/>
      <c r="O44" s="182"/>
      <c r="P44" s="182"/>
      <c r="Q44" s="264"/>
      <c r="R44" s="264"/>
      <c r="S44" s="165"/>
      <c r="T44" s="193"/>
      <c r="U44" s="165"/>
      <c r="V44" s="165"/>
      <c r="W44" s="165"/>
      <c r="X44" s="165"/>
      <c r="Y44" s="165"/>
    </row>
    <row r="45" spans="1:25" ht="38.25">
      <c r="A45" s="117">
        <v>306</v>
      </c>
      <c r="B45" s="118" t="s">
        <v>88</v>
      </c>
      <c r="C45" s="117" t="s">
        <v>5</v>
      </c>
      <c r="D45" s="119">
        <v>396</v>
      </c>
      <c r="E45" s="98">
        <v>20.69</v>
      </c>
      <c r="F45" s="98">
        <f t="shared" si="13"/>
        <v>8193.24</v>
      </c>
      <c r="G45" s="126">
        <f t="shared" si="5"/>
        <v>0</v>
      </c>
      <c r="H45" s="98">
        <f t="shared" si="14"/>
        <v>0</v>
      </c>
      <c r="I45" s="99">
        <f t="shared" si="15"/>
        <v>0</v>
      </c>
      <c r="J45" s="98">
        <f t="shared" si="16"/>
        <v>0</v>
      </c>
      <c r="K45" s="99">
        <f t="shared" si="6"/>
        <v>396</v>
      </c>
      <c r="L45" s="98">
        <f>TRUNC(K45*E45,2)</f>
        <v>8193.24</v>
      </c>
      <c r="M45" s="116">
        <f t="shared" si="7"/>
        <v>1</v>
      </c>
      <c r="N45" s="276"/>
      <c r="O45" s="182"/>
      <c r="P45" s="182"/>
      <c r="Q45" s="264"/>
      <c r="R45" s="264"/>
      <c r="S45" s="165"/>
      <c r="T45" s="193"/>
      <c r="U45" s="165"/>
      <c r="V45" s="165"/>
      <c r="W45" s="165"/>
      <c r="X45" s="165"/>
      <c r="Y45" s="165"/>
    </row>
    <row r="46" spans="1:25">
      <c r="A46" s="111">
        <v>4</v>
      </c>
      <c r="B46" s="112" t="s">
        <v>89</v>
      </c>
      <c r="C46" s="112"/>
      <c r="D46" s="113"/>
      <c r="E46" s="114"/>
      <c r="F46" s="114">
        <f>SUM(F47:F55)</f>
        <v>59525.200000000004</v>
      </c>
      <c r="G46" s="115"/>
      <c r="H46" s="97">
        <f>TRUNC(SUM(H47:H55),2)</f>
        <v>0</v>
      </c>
      <c r="I46" s="97"/>
      <c r="J46" s="97">
        <f>TRUNC(SUM(J47:J55),2)</f>
        <v>0</v>
      </c>
      <c r="K46" s="190"/>
      <c r="L46" s="97">
        <f>TRUNC(SUM(L47:L55),2)</f>
        <v>59525.2</v>
      </c>
      <c r="M46" s="173"/>
      <c r="N46" s="277"/>
      <c r="O46" s="204"/>
      <c r="P46" s="204"/>
      <c r="Q46" s="205"/>
      <c r="R46" s="205"/>
      <c r="S46" s="206"/>
      <c r="T46" s="205"/>
      <c r="U46" s="206"/>
      <c r="V46" s="206"/>
      <c r="W46" s="206"/>
      <c r="X46" s="206"/>
      <c r="Y46" s="206"/>
    </row>
    <row r="47" spans="1:25" ht="38.25">
      <c r="A47" s="117">
        <v>401</v>
      </c>
      <c r="B47" s="118" t="s">
        <v>90</v>
      </c>
      <c r="C47" s="117" t="s">
        <v>10</v>
      </c>
      <c r="D47" s="119">
        <v>20</v>
      </c>
      <c r="E47" s="98">
        <v>656.68</v>
      </c>
      <c r="F47" s="98">
        <f t="shared" ref="F47:F55" si="17">TRUNC(D47 * E47, 2)</f>
        <v>13133.6</v>
      </c>
      <c r="G47" s="126">
        <f t="shared" si="5"/>
        <v>0</v>
      </c>
      <c r="H47" s="98">
        <f t="shared" ref="H47:H55" si="18">TRUNC(G47*E47,2)</f>
        <v>0</v>
      </c>
      <c r="I47" s="99">
        <f>SUM(N47:Y47)</f>
        <v>0</v>
      </c>
      <c r="J47" s="98">
        <f t="shared" ref="J47:J55" si="19">TRUNC(I47*E47,2)</f>
        <v>0</v>
      </c>
      <c r="K47" s="99">
        <f t="shared" si="6"/>
        <v>20</v>
      </c>
      <c r="L47" s="99">
        <f t="shared" ref="L47:L55" si="20">TRUNC(K47*E47,2)</f>
        <v>13133.6</v>
      </c>
      <c r="M47" s="116">
        <f t="shared" si="7"/>
        <v>1</v>
      </c>
      <c r="N47" s="276"/>
      <c r="O47" s="182"/>
      <c r="P47" s="182"/>
      <c r="Q47" s="171"/>
      <c r="R47" s="264"/>
      <c r="S47" s="165"/>
      <c r="T47" s="193"/>
      <c r="U47" s="165"/>
      <c r="V47" s="165"/>
      <c r="W47" s="165"/>
      <c r="X47" s="165"/>
      <c r="Y47" s="165"/>
    </row>
    <row r="48" spans="1:25">
      <c r="A48" s="117">
        <v>402</v>
      </c>
      <c r="B48" s="118" t="s">
        <v>91</v>
      </c>
      <c r="C48" s="117" t="s">
        <v>99</v>
      </c>
      <c r="D48" s="119">
        <v>20</v>
      </c>
      <c r="E48" s="98">
        <v>29.51</v>
      </c>
      <c r="F48" s="98">
        <f t="shared" si="17"/>
        <v>590.20000000000005</v>
      </c>
      <c r="G48" s="126">
        <f t="shared" si="5"/>
        <v>0</v>
      </c>
      <c r="H48" s="98">
        <f t="shared" si="18"/>
        <v>0</v>
      </c>
      <c r="I48" s="99">
        <f t="shared" ref="I48:I55" si="21">SUM(N48:Y48)</f>
        <v>0</v>
      </c>
      <c r="J48" s="98">
        <f t="shared" si="19"/>
        <v>0</v>
      </c>
      <c r="K48" s="99">
        <f t="shared" si="6"/>
        <v>20</v>
      </c>
      <c r="L48" s="99">
        <f t="shared" si="20"/>
        <v>590.20000000000005</v>
      </c>
      <c r="M48" s="116">
        <f t="shared" si="7"/>
        <v>1</v>
      </c>
      <c r="N48" s="276"/>
      <c r="O48" s="182"/>
      <c r="P48" s="182"/>
      <c r="Q48" s="171"/>
      <c r="R48" s="264"/>
      <c r="S48" s="165"/>
      <c r="T48" s="193"/>
      <c r="U48" s="165"/>
      <c r="V48" s="165"/>
      <c r="W48" s="165"/>
      <c r="X48" s="165"/>
      <c r="Y48" s="165"/>
    </row>
    <row r="49" spans="1:27" ht="25.5">
      <c r="A49" s="117">
        <v>403</v>
      </c>
      <c r="B49" s="118" t="s">
        <v>92</v>
      </c>
      <c r="C49" s="117" t="s">
        <v>99</v>
      </c>
      <c r="D49" s="119">
        <v>20</v>
      </c>
      <c r="E49" s="98">
        <v>433.79</v>
      </c>
      <c r="F49" s="98">
        <f t="shared" si="17"/>
        <v>8675.7999999999993</v>
      </c>
      <c r="G49" s="126">
        <f t="shared" si="5"/>
        <v>0</v>
      </c>
      <c r="H49" s="98">
        <f t="shared" si="18"/>
        <v>0</v>
      </c>
      <c r="I49" s="99">
        <f t="shared" si="21"/>
        <v>0</v>
      </c>
      <c r="J49" s="98">
        <f t="shared" si="19"/>
        <v>0</v>
      </c>
      <c r="K49" s="99">
        <f t="shared" si="6"/>
        <v>20</v>
      </c>
      <c r="L49" s="99">
        <f t="shared" si="20"/>
        <v>8675.7999999999993</v>
      </c>
      <c r="M49" s="116">
        <f t="shared" si="7"/>
        <v>1</v>
      </c>
      <c r="N49" s="276"/>
      <c r="O49" s="182"/>
      <c r="P49" s="182"/>
      <c r="Q49" s="171"/>
      <c r="R49" s="264"/>
      <c r="S49" s="165"/>
      <c r="T49" s="193"/>
      <c r="U49" s="165"/>
      <c r="V49" s="165"/>
      <c r="W49" s="165"/>
      <c r="X49" s="165"/>
      <c r="Y49" s="165"/>
    </row>
    <row r="50" spans="1:27" ht="25.5">
      <c r="A50" s="117">
        <v>404</v>
      </c>
      <c r="B50" s="118" t="s">
        <v>93</v>
      </c>
      <c r="C50" s="117" t="s">
        <v>99</v>
      </c>
      <c r="D50" s="119">
        <v>20</v>
      </c>
      <c r="E50" s="98">
        <v>348.72</v>
      </c>
      <c r="F50" s="98">
        <f t="shared" si="17"/>
        <v>6974.4</v>
      </c>
      <c r="G50" s="126">
        <f t="shared" si="5"/>
        <v>0</v>
      </c>
      <c r="H50" s="98">
        <f t="shared" si="18"/>
        <v>0</v>
      </c>
      <c r="I50" s="99">
        <f t="shared" si="21"/>
        <v>0</v>
      </c>
      <c r="J50" s="98">
        <f t="shared" si="19"/>
        <v>0</v>
      </c>
      <c r="K50" s="99">
        <f t="shared" si="6"/>
        <v>20</v>
      </c>
      <c r="L50" s="99">
        <f t="shared" si="20"/>
        <v>6974.4</v>
      </c>
      <c r="M50" s="116">
        <f t="shared" si="7"/>
        <v>1</v>
      </c>
      <c r="N50" s="276"/>
      <c r="O50" s="182"/>
      <c r="P50" s="182"/>
      <c r="Q50" s="171"/>
      <c r="R50" s="264"/>
      <c r="S50" s="165"/>
      <c r="T50" s="193"/>
      <c r="U50" s="165"/>
      <c r="V50" s="165"/>
      <c r="W50" s="165"/>
      <c r="X50" s="165"/>
      <c r="Y50" s="165"/>
    </row>
    <row r="51" spans="1:27">
      <c r="A51" s="117">
        <v>405</v>
      </c>
      <c r="B51" s="118" t="s">
        <v>94</v>
      </c>
      <c r="C51" s="117" t="s">
        <v>99</v>
      </c>
      <c r="D51" s="119">
        <v>20</v>
      </c>
      <c r="E51" s="98">
        <v>5.89</v>
      </c>
      <c r="F51" s="98">
        <f t="shared" si="17"/>
        <v>117.8</v>
      </c>
      <c r="G51" s="126">
        <f t="shared" si="5"/>
        <v>0</v>
      </c>
      <c r="H51" s="98">
        <f t="shared" si="18"/>
        <v>0</v>
      </c>
      <c r="I51" s="99">
        <f t="shared" si="21"/>
        <v>0</v>
      </c>
      <c r="J51" s="98">
        <f t="shared" si="19"/>
        <v>0</v>
      </c>
      <c r="K51" s="99">
        <f t="shared" si="6"/>
        <v>20</v>
      </c>
      <c r="L51" s="99">
        <f t="shared" si="20"/>
        <v>117.8</v>
      </c>
      <c r="M51" s="116">
        <f t="shared" si="7"/>
        <v>1</v>
      </c>
      <c r="N51" s="276"/>
      <c r="O51" s="182"/>
      <c r="P51" s="182"/>
      <c r="Q51" s="171"/>
      <c r="R51" s="264"/>
      <c r="S51" s="165"/>
      <c r="T51" s="193"/>
      <c r="U51" s="165"/>
      <c r="V51" s="165"/>
      <c r="W51" s="165"/>
      <c r="X51" s="165"/>
      <c r="Y51" s="165"/>
    </row>
    <row r="52" spans="1:27" ht="25.5">
      <c r="A52" s="117">
        <v>406</v>
      </c>
      <c r="B52" s="118" t="s">
        <v>95</v>
      </c>
      <c r="C52" s="117" t="s">
        <v>99</v>
      </c>
      <c r="D52" s="119">
        <v>20</v>
      </c>
      <c r="E52" s="98">
        <v>250.71</v>
      </c>
      <c r="F52" s="98">
        <f t="shared" si="17"/>
        <v>5014.2</v>
      </c>
      <c r="G52" s="126">
        <f t="shared" si="5"/>
        <v>0</v>
      </c>
      <c r="H52" s="98">
        <f t="shared" si="18"/>
        <v>0</v>
      </c>
      <c r="I52" s="99">
        <f t="shared" si="21"/>
        <v>0</v>
      </c>
      <c r="J52" s="98">
        <f t="shared" si="19"/>
        <v>0</v>
      </c>
      <c r="K52" s="99">
        <f t="shared" si="6"/>
        <v>20</v>
      </c>
      <c r="L52" s="99">
        <f t="shared" si="20"/>
        <v>5014.2</v>
      </c>
      <c r="M52" s="116">
        <f t="shared" si="7"/>
        <v>1</v>
      </c>
      <c r="N52" s="276"/>
      <c r="O52" s="182"/>
      <c r="P52" s="182"/>
      <c r="Q52" s="171"/>
      <c r="R52" s="264"/>
      <c r="S52" s="165"/>
      <c r="T52" s="193"/>
      <c r="U52" s="165"/>
      <c r="V52" s="165"/>
      <c r="W52" s="165"/>
      <c r="X52" s="165"/>
      <c r="Y52" s="165"/>
    </row>
    <row r="53" spans="1:27" ht="25.5">
      <c r="A53" s="117">
        <v>407</v>
      </c>
      <c r="B53" s="118" t="s">
        <v>96</v>
      </c>
      <c r="C53" s="117" t="s">
        <v>99</v>
      </c>
      <c r="D53" s="119">
        <v>40</v>
      </c>
      <c r="E53" s="98">
        <v>18.87</v>
      </c>
      <c r="F53" s="98">
        <f t="shared" si="17"/>
        <v>754.8</v>
      </c>
      <c r="G53" s="126">
        <f t="shared" si="5"/>
        <v>0</v>
      </c>
      <c r="H53" s="98">
        <f t="shared" si="18"/>
        <v>0</v>
      </c>
      <c r="I53" s="99">
        <f t="shared" si="21"/>
        <v>0</v>
      </c>
      <c r="J53" s="98">
        <f t="shared" si="19"/>
        <v>0</v>
      </c>
      <c r="K53" s="99">
        <f t="shared" si="6"/>
        <v>40</v>
      </c>
      <c r="L53" s="99">
        <f t="shared" si="20"/>
        <v>754.8</v>
      </c>
      <c r="M53" s="116">
        <f t="shared" si="7"/>
        <v>1</v>
      </c>
      <c r="N53" s="276"/>
      <c r="O53" s="182"/>
      <c r="P53" s="182"/>
      <c r="Q53" s="171"/>
      <c r="R53" s="264"/>
      <c r="S53" s="165"/>
      <c r="T53" s="193"/>
      <c r="U53" s="165"/>
      <c r="V53" s="165"/>
      <c r="W53" s="165"/>
      <c r="X53" s="165"/>
      <c r="Y53" s="165"/>
    </row>
    <row r="54" spans="1:27">
      <c r="A54" s="117">
        <v>408</v>
      </c>
      <c r="B54" s="118" t="s">
        <v>97</v>
      </c>
      <c r="C54" s="117" t="s">
        <v>45</v>
      </c>
      <c r="D54" s="119">
        <v>20</v>
      </c>
      <c r="E54" s="98">
        <v>13.87</v>
      </c>
      <c r="F54" s="98">
        <f t="shared" si="17"/>
        <v>277.39999999999998</v>
      </c>
      <c r="G54" s="126">
        <f t="shared" si="5"/>
        <v>0</v>
      </c>
      <c r="H54" s="98">
        <f t="shared" si="18"/>
        <v>0</v>
      </c>
      <c r="I54" s="99">
        <f t="shared" si="21"/>
        <v>0</v>
      </c>
      <c r="J54" s="98">
        <f t="shared" si="19"/>
        <v>0</v>
      </c>
      <c r="K54" s="99">
        <f t="shared" si="6"/>
        <v>20</v>
      </c>
      <c r="L54" s="99">
        <f t="shared" si="20"/>
        <v>277.39999999999998</v>
      </c>
      <c r="M54" s="116">
        <f t="shared" si="7"/>
        <v>1</v>
      </c>
      <c r="N54" s="276"/>
      <c r="O54" s="182"/>
      <c r="P54" s="182"/>
      <c r="Q54" s="171"/>
      <c r="R54" s="264"/>
      <c r="S54" s="165"/>
      <c r="T54" s="193"/>
      <c r="U54" s="165"/>
      <c r="V54" s="165"/>
      <c r="W54" s="165"/>
      <c r="X54" s="165"/>
      <c r="Y54" s="165"/>
    </row>
    <row r="55" spans="1:27" ht="25.5">
      <c r="A55" s="117">
        <v>409</v>
      </c>
      <c r="B55" s="118" t="s">
        <v>98</v>
      </c>
      <c r="C55" s="117" t="s">
        <v>99</v>
      </c>
      <c r="D55" s="119">
        <v>4150</v>
      </c>
      <c r="E55" s="98">
        <v>5.78</v>
      </c>
      <c r="F55" s="98">
        <f t="shared" si="17"/>
        <v>23987</v>
      </c>
      <c r="G55" s="126">
        <f t="shared" si="5"/>
        <v>0</v>
      </c>
      <c r="H55" s="98">
        <f t="shared" si="18"/>
        <v>0</v>
      </c>
      <c r="I55" s="99">
        <f t="shared" si="21"/>
        <v>0</v>
      </c>
      <c r="J55" s="98">
        <f t="shared" si="19"/>
        <v>0</v>
      </c>
      <c r="K55" s="99">
        <f t="shared" si="6"/>
        <v>4150</v>
      </c>
      <c r="L55" s="99">
        <f t="shared" si="20"/>
        <v>23987</v>
      </c>
      <c r="M55" s="116">
        <f t="shared" si="7"/>
        <v>1</v>
      </c>
      <c r="N55" s="276"/>
      <c r="O55" s="182"/>
      <c r="P55" s="182"/>
      <c r="Q55" s="171"/>
      <c r="R55" s="264"/>
      <c r="S55" s="165"/>
      <c r="T55" s="193"/>
      <c r="U55" s="165"/>
      <c r="V55" s="165"/>
      <c r="W55" s="165"/>
      <c r="X55" s="165"/>
      <c r="Y55" s="165"/>
    </row>
    <row r="56" spans="1:27" ht="16.5" customHeight="1">
      <c r="A56" s="289" t="s">
        <v>105</v>
      </c>
      <c r="B56" s="289"/>
      <c r="C56" s="289"/>
      <c r="D56" s="289"/>
      <c r="E56" s="289"/>
      <c r="F56" s="100">
        <f>SUM(F46,F39,F27,F11)</f>
        <v>1765148.5899999999</v>
      </c>
      <c r="G56" s="121"/>
      <c r="H56" s="100">
        <f>TRUNC(SUM(H46,H39,H27,H11),2)</f>
        <v>173187.39</v>
      </c>
      <c r="I56" s="100"/>
      <c r="J56" s="100">
        <f>TRUNC(SUM(J46,J39,J27,J11),2)</f>
        <v>892502.05</v>
      </c>
      <c r="K56" s="190"/>
      <c r="L56" s="100">
        <f>TRUNC(SUM(L46,L39,L27,L11),2)</f>
        <v>872646.42</v>
      </c>
      <c r="M56" s="173">
        <f>(F56-J56)/F56</f>
        <v>0.4943756831259174</v>
      </c>
      <c r="N56" s="277"/>
      <c r="O56" s="204"/>
      <c r="P56" s="204"/>
      <c r="Q56" s="205"/>
      <c r="R56" s="205"/>
      <c r="S56" s="206"/>
      <c r="T56" s="205"/>
      <c r="U56" s="206"/>
      <c r="V56" s="206"/>
      <c r="W56" s="206"/>
      <c r="X56" s="206"/>
      <c r="Y56" s="206"/>
      <c r="AA56" s="214"/>
    </row>
    <row r="57" spans="1:27" ht="16.5" customHeight="1">
      <c r="A57" s="289" t="s">
        <v>106</v>
      </c>
      <c r="B57" s="289"/>
      <c r="C57" s="289"/>
      <c r="D57" s="289"/>
      <c r="E57" s="289"/>
      <c r="F57" s="100">
        <f>TRUNC(F56*0.2502,2)</f>
        <v>441640.17</v>
      </c>
      <c r="G57" s="121"/>
      <c r="H57" s="100">
        <f>TRUNC(H56*0.2502,2)</f>
        <v>43331.48</v>
      </c>
      <c r="I57" s="100"/>
      <c r="J57" s="100">
        <f>TRUNC(J56*0.2502,2)</f>
        <v>223304.01</v>
      </c>
      <c r="K57" s="190"/>
      <c r="L57" s="100">
        <f>TRUNC(L56*0.2502,2)</f>
        <v>218336.13</v>
      </c>
      <c r="M57" s="173">
        <f t="shared" ref="M57:M58" si="22">(F57-J57)/F57</f>
        <v>0.49437568145125926</v>
      </c>
      <c r="N57" s="277"/>
      <c r="O57" s="204"/>
      <c r="P57" s="204"/>
      <c r="Q57" s="205"/>
      <c r="R57" s="205"/>
      <c r="S57" s="206"/>
      <c r="T57" s="205"/>
      <c r="U57" s="206"/>
      <c r="V57" s="206"/>
      <c r="W57" s="206"/>
      <c r="X57" s="206"/>
      <c r="Y57" s="206"/>
      <c r="AA57" s="214"/>
    </row>
    <row r="58" spans="1:27" ht="16.5" customHeight="1">
      <c r="A58" s="289" t="s">
        <v>107</v>
      </c>
      <c r="B58" s="289"/>
      <c r="C58" s="289"/>
      <c r="D58" s="289"/>
      <c r="E58" s="289"/>
      <c r="F58" s="100">
        <f>SUM(F56:F57)</f>
        <v>2206788.7599999998</v>
      </c>
      <c r="G58" s="121"/>
      <c r="H58" s="100">
        <f>TRUNC(SUM(H56:H57),2)</f>
        <v>216518.87</v>
      </c>
      <c r="I58" s="100"/>
      <c r="J58" s="100">
        <f>TRUNC(SUM(J56:J57),2)</f>
        <v>1115806.06</v>
      </c>
      <c r="K58" s="190"/>
      <c r="L58" s="100">
        <f>TRUNC(SUM(L56:L57),2)</f>
        <v>1090982.55</v>
      </c>
      <c r="M58" s="173">
        <f t="shared" si="22"/>
        <v>0.49437568279077143</v>
      </c>
      <c r="N58" s="277"/>
      <c r="O58" s="204"/>
      <c r="P58" s="204"/>
      <c r="Q58" s="205"/>
      <c r="R58" s="205"/>
      <c r="S58" s="206"/>
      <c r="T58" s="205"/>
      <c r="U58" s="206"/>
      <c r="V58" s="206"/>
      <c r="W58" s="206"/>
      <c r="X58" s="206"/>
      <c r="Y58" s="206"/>
      <c r="AA58" s="214"/>
    </row>
    <row r="59" spans="1:27" ht="90" customHeight="1">
      <c r="A59" s="283" t="s">
        <v>148</v>
      </c>
      <c r="B59" s="284"/>
      <c r="C59" s="284" t="s">
        <v>146</v>
      </c>
      <c r="D59" s="284"/>
      <c r="E59" s="284"/>
      <c r="F59" s="284"/>
      <c r="G59" s="284" t="s">
        <v>147</v>
      </c>
      <c r="H59" s="284"/>
      <c r="I59" s="284"/>
      <c r="J59" s="284" t="s">
        <v>200</v>
      </c>
      <c r="K59" s="284"/>
      <c r="L59" s="284"/>
      <c r="M59" s="290"/>
      <c r="N59" s="6"/>
      <c r="Z59" s="216"/>
      <c r="AA59" s="215"/>
    </row>
  </sheetData>
  <mergeCells count="34">
    <mergeCell ref="X10:X11"/>
    <mergeCell ref="O10:O11"/>
    <mergeCell ref="P10:P11"/>
    <mergeCell ref="K8:M9"/>
    <mergeCell ref="N10:N11"/>
    <mergeCell ref="E8:E10"/>
    <mergeCell ref="W10:W11"/>
    <mergeCell ref="S10:S11"/>
    <mergeCell ref="T10:T11"/>
    <mergeCell ref="U10:U11"/>
    <mergeCell ref="V10:V11"/>
    <mergeCell ref="Q10:Q11"/>
    <mergeCell ref="R10:R11"/>
    <mergeCell ref="B2:M2"/>
    <mergeCell ref="B3:M3"/>
    <mergeCell ref="B4:M4"/>
    <mergeCell ref="B5:M5"/>
    <mergeCell ref="A6:M7"/>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s>
  <phoneticPr fontId="54" type="noConversion"/>
  <pageMargins left="0.51181102362204722" right="0.51181102362204722" top="0.78740157480314965" bottom="0.78740157480314965" header="0.31496062992125984" footer="0.31496062992125984"/>
  <pageSetup paperSize="9" scale="61"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H54"/>
  <sheetViews>
    <sheetView topLeftCell="A10" workbookViewId="0">
      <selection activeCell="K13" sqref="K1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49.5" customHeight="1">
      <c r="A7" s="68">
        <v>111</v>
      </c>
      <c r="B7" s="350" t="s">
        <v>66</v>
      </c>
      <c r="C7" s="350"/>
      <c r="D7" s="350"/>
      <c r="E7" s="350"/>
      <c r="F7" s="350"/>
      <c r="G7" s="350"/>
      <c r="H7" s="351"/>
    </row>
    <row r="8" spans="1:8" ht="15.75" customHeight="1">
      <c r="A8" s="69"/>
      <c r="B8" s="322"/>
      <c r="C8" s="323"/>
      <c r="D8" s="323"/>
      <c r="E8" s="323"/>
      <c r="F8" s="323"/>
      <c r="G8" s="70" t="s">
        <v>125</v>
      </c>
      <c r="H8" s="90" t="s">
        <v>8</v>
      </c>
    </row>
    <row r="9" spans="1:8">
      <c r="A9" s="45"/>
      <c r="B9" s="46"/>
      <c r="C9" s="308"/>
      <c r="D9" s="308"/>
      <c r="E9" s="308"/>
      <c r="F9" s="47"/>
      <c r="G9" s="162"/>
      <c r="H9" s="48"/>
    </row>
    <row r="10" spans="1:8" ht="15.75">
      <c r="A10" s="49" t="s">
        <v>113</v>
      </c>
      <c r="B10" s="46"/>
      <c r="C10" s="332" t="s">
        <v>157</v>
      </c>
      <c r="D10" s="332"/>
      <c r="E10" s="162"/>
      <c r="F10" s="47"/>
      <c r="G10" s="162"/>
      <c r="H10" s="48"/>
    </row>
    <row r="11" spans="1:8" ht="15.75">
      <c r="A11" s="45"/>
      <c r="B11" s="73" t="s">
        <v>114</v>
      </c>
      <c r="C11" s="73"/>
      <c r="D11" s="73"/>
      <c r="E11" s="74"/>
      <c r="F11" s="74"/>
      <c r="G11" s="74" t="s">
        <v>9</v>
      </c>
      <c r="H11" s="48"/>
    </row>
    <row r="12" spans="1:8">
      <c r="A12" s="72"/>
      <c r="B12" s="75" t="s">
        <v>205</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42"/>
      <c r="G15" s="42"/>
      <c r="H15" s="51"/>
    </row>
    <row r="16" spans="1:8" ht="15.75">
      <c r="A16" s="52"/>
      <c r="B16" s="79" t="s">
        <v>118</v>
      </c>
      <c r="C16" s="80">
        <f>2+1+1+1</f>
        <v>5</v>
      </c>
      <c r="D16" s="42"/>
      <c r="E16" s="42"/>
      <c r="F16" s="42"/>
      <c r="G16" s="42"/>
      <c r="H16" s="51"/>
    </row>
    <row r="17" spans="1:8" ht="15.75">
      <c r="A17" s="52"/>
      <c r="B17" s="79" t="s">
        <v>119</v>
      </c>
      <c r="C17" s="80">
        <f>C15-C16</f>
        <v>13</v>
      </c>
      <c r="D17" s="42"/>
      <c r="E17" s="42"/>
      <c r="F17" s="42"/>
      <c r="G17" s="42"/>
      <c r="H17" s="51"/>
    </row>
    <row r="18" spans="1:8" ht="15.75">
      <c r="A18" s="161"/>
      <c r="B18" s="79" t="s">
        <v>120</v>
      </c>
      <c r="C18" s="80"/>
      <c r="D18" s="42"/>
      <c r="E18" s="42"/>
      <c r="F18" s="42"/>
      <c r="G18" s="42"/>
      <c r="H18" s="51"/>
    </row>
    <row r="19" spans="1:8" ht="15.75">
      <c r="A19" s="161"/>
      <c r="B19" s="79" t="s">
        <v>121</v>
      </c>
      <c r="C19" s="80">
        <f>G12</f>
        <v>1</v>
      </c>
      <c r="D19" s="42"/>
      <c r="E19" s="42"/>
      <c r="F19" s="42"/>
      <c r="G19" s="42"/>
      <c r="H19" s="51"/>
    </row>
    <row r="20" spans="1:8" ht="15.75">
      <c r="A20" s="161"/>
      <c r="B20" s="53"/>
      <c r="H20" s="51"/>
    </row>
    <row r="21" spans="1:8">
      <c r="A21" s="161"/>
      <c r="H21" s="51"/>
    </row>
    <row r="22" spans="1:8">
      <c r="A22" s="161"/>
      <c r="H22" s="51"/>
    </row>
    <row r="23" spans="1:8">
      <c r="A23" s="161"/>
      <c r="H23" s="51"/>
    </row>
    <row r="24" spans="1:8">
      <c r="A24" s="161"/>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31"/>
      <c r="E36" s="331"/>
      <c r="F36" s="331"/>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305" t="s">
        <v>204</v>
      </c>
      <c r="B52" s="306"/>
      <c r="C52" s="306"/>
      <c r="D52" s="306"/>
      <c r="E52" s="306"/>
      <c r="F52" s="306"/>
      <c r="G52" s="306"/>
      <c r="H52" s="307"/>
    </row>
    <row r="53" spans="1:8" ht="15.75">
      <c r="A53" s="56"/>
      <c r="B53" s="40"/>
      <c r="C53" s="163"/>
      <c r="D53" s="163"/>
      <c r="E53" s="163"/>
      <c r="F53" s="58"/>
      <c r="G53" s="59"/>
      <c r="H53" s="60"/>
    </row>
    <row r="54" spans="1:8">
      <c r="A54" s="34"/>
      <c r="B54" s="36"/>
      <c r="C54" s="164"/>
      <c r="D54" s="38"/>
      <c r="E54" s="39"/>
      <c r="F54" s="164"/>
      <c r="G54" s="164"/>
      <c r="H54" s="164"/>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H54"/>
  <sheetViews>
    <sheetView topLeftCell="A22" workbookViewId="0">
      <selection activeCell="G29" sqref="G29"/>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295</v>
      </c>
      <c r="B4" s="316"/>
      <c r="C4" s="316"/>
      <c r="D4" s="316"/>
      <c r="E4" s="316"/>
      <c r="F4" s="316"/>
      <c r="G4" s="316"/>
      <c r="H4" s="317"/>
    </row>
    <row r="5" spans="1:8">
      <c r="A5" s="67">
        <v>1</v>
      </c>
      <c r="B5" s="318" t="s">
        <v>124</v>
      </c>
      <c r="C5" s="318"/>
      <c r="D5" s="318"/>
      <c r="E5" s="318"/>
      <c r="F5" s="318"/>
      <c r="G5" s="318"/>
      <c r="H5" s="319"/>
    </row>
    <row r="6" spans="1:8" ht="48" customHeight="1">
      <c r="A6" s="68">
        <v>112</v>
      </c>
      <c r="B6" s="323" t="s">
        <v>67</v>
      </c>
      <c r="C6" s="323"/>
      <c r="D6" s="323"/>
      <c r="E6" s="323"/>
      <c r="F6" s="323"/>
      <c r="G6" s="323"/>
      <c r="H6" s="349"/>
    </row>
    <row r="7" spans="1:8" ht="15.75" customHeight="1">
      <c r="A7" s="69"/>
      <c r="B7" s="322"/>
      <c r="C7" s="323"/>
      <c r="D7" s="323"/>
      <c r="E7" s="323"/>
      <c r="F7" s="323"/>
      <c r="G7" s="70" t="s">
        <v>125</v>
      </c>
      <c r="H7" s="90" t="s">
        <v>140</v>
      </c>
    </row>
    <row r="8" spans="1:8">
      <c r="A8" s="45"/>
      <c r="B8" s="46"/>
      <c r="C8" s="308"/>
      <c r="D8" s="308"/>
      <c r="E8" s="308"/>
      <c r="F8" s="47"/>
      <c r="G8" s="61"/>
      <c r="H8" s="48"/>
    </row>
    <row r="9" spans="1:8" ht="15.75">
      <c r="A9" s="49" t="s">
        <v>113</v>
      </c>
      <c r="B9" s="46"/>
      <c r="C9" s="332" t="s">
        <v>158</v>
      </c>
      <c r="D9" s="332"/>
      <c r="E9" s="61"/>
      <c r="F9" s="47"/>
      <c r="G9" s="61"/>
      <c r="H9" s="48"/>
    </row>
    <row r="10" spans="1:8" ht="15.75">
      <c r="A10" s="45"/>
      <c r="B10" s="73" t="s">
        <v>114</v>
      </c>
      <c r="C10" s="73"/>
      <c r="D10" s="73" t="s">
        <v>141</v>
      </c>
      <c r="E10" s="74" t="s">
        <v>44</v>
      </c>
      <c r="F10" s="74"/>
      <c r="G10" s="74" t="s">
        <v>9</v>
      </c>
      <c r="H10" s="48"/>
    </row>
    <row r="11" spans="1:8">
      <c r="A11" s="72"/>
      <c r="B11" s="75" t="s">
        <v>138</v>
      </c>
      <c r="C11" s="76"/>
      <c r="D11" s="157"/>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8" ht="15.75">
      <c r="A17" s="63"/>
      <c r="B17" s="79" t="s">
        <v>120</v>
      </c>
      <c r="C17" s="80"/>
      <c r="D17" s="42"/>
      <c r="E17" s="93"/>
      <c r="F17" s="42"/>
      <c r="G17" s="42"/>
      <c r="H17" s="51"/>
    </row>
    <row r="18" spans="1:8" ht="15.75">
      <c r="A18" s="63"/>
      <c r="B18" s="79" t="s">
        <v>121</v>
      </c>
      <c r="C18" s="80">
        <f>G12</f>
        <v>0</v>
      </c>
      <c r="D18" s="42"/>
      <c r="E18" s="93"/>
      <c r="F18" s="42"/>
      <c r="G18" s="42"/>
      <c r="H18" s="51"/>
    </row>
    <row r="19" spans="1:8">
      <c r="A19" s="63"/>
      <c r="H19" s="51"/>
    </row>
    <row r="20" spans="1:8">
      <c r="A20" s="63"/>
      <c r="B20" s="236" t="s">
        <v>245</v>
      </c>
      <c r="C20" s="167" t="s">
        <v>247</v>
      </c>
      <c r="D20" s="167" t="s">
        <v>246</v>
      </c>
      <c r="E20" s="203" t="s">
        <v>239</v>
      </c>
      <c r="F20" s="167" t="s">
        <v>240</v>
      </c>
      <c r="H20" s="51"/>
    </row>
    <row r="21" spans="1:8">
      <c r="A21" s="63"/>
      <c r="B21" s="236" t="s">
        <v>238</v>
      </c>
      <c r="C21" s="201" t="s">
        <v>308</v>
      </c>
      <c r="D21" s="169">
        <v>7</v>
      </c>
      <c r="E21" s="169">
        <v>3</v>
      </c>
      <c r="F21" s="169">
        <f>E21*D21</f>
        <v>21</v>
      </c>
      <c r="H21" s="51"/>
    </row>
    <row r="22" spans="1:8">
      <c r="A22" s="63"/>
      <c r="B22" s="236" t="s">
        <v>241</v>
      </c>
      <c r="C22" s="201" t="s">
        <v>309</v>
      </c>
      <c r="D22" s="169">
        <v>6</v>
      </c>
      <c r="E22" s="169">
        <v>2</v>
      </c>
      <c r="F22" s="169">
        <f>E22*D22</f>
        <v>12</v>
      </c>
      <c r="H22" s="51"/>
    </row>
    <row r="23" spans="1:8">
      <c r="A23" s="63"/>
      <c r="B23" s="236" t="s">
        <v>242</v>
      </c>
      <c r="C23" s="201" t="s">
        <v>310</v>
      </c>
      <c r="D23" s="169">
        <v>5</v>
      </c>
      <c r="E23" s="169">
        <v>3</v>
      </c>
      <c r="F23" s="169">
        <f>E23*D23</f>
        <v>15</v>
      </c>
      <c r="H23" s="51"/>
    </row>
    <row r="24" spans="1:8">
      <c r="A24" s="45"/>
      <c r="B24" s="236" t="s">
        <v>243</v>
      </c>
      <c r="C24" s="202" t="s">
        <v>244</v>
      </c>
      <c r="D24" s="169">
        <v>1</v>
      </c>
      <c r="E24" s="169">
        <v>1</v>
      </c>
      <c r="F24" s="169">
        <f t="shared" ref="F24:F26" si="0">E24*D24</f>
        <v>1</v>
      </c>
      <c r="G24" s="42"/>
      <c r="H24" s="51"/>
    </row>
    <row r="25" spans="1:8">
      <c r="A25" s="45"/>
      <c r="B25" s="236"/>
      <c r="C25" s="201" t="s">
        <v>311</v>
      </c>
      <c r="D25" s="169">
        <v>3</v>
      </c>
      <c r="E25" s="169">
        <v>4</v>
      </c>
      <c r="F25" s="169">
        <f t="shared" si="0"/>
        <v>12</v>
      </c>
      <c r="G25" s="42"/>
      <c r="H25" s="51"/>
    </row>
    <row r="26" spans="1:8">
      <c r="A26" s="45"/>
      <c r="B26" s="236" t="s">
        <v>243</v>
      </c>
      <c r="C26" s="202" t="s">
        <v>312</v>
      </c>
      <c r="D26" s="169">
        <v>2</v>
      </c>
      <c r="E26" s="169">
        <v>4</v>
      </c>
      <c r="F26" s="169">
        <f t="shared" si="0"/>
        <v>8</v>
      </c>
      <c r="G26" s="42"/>
      <c r="H26" s="51"/>
    </row>
    <row r="27" spans="1:8">
      <c r="A27" s="45"/>
      <c r="B27" s="236"/>
      <c r="C27" s="201"/>
      <c r="D27" s="169"/>
      <c r="E27" s="169" t="s">
        <v>9</v>
      </c>
      <c r="F27" s="169">
        <f>SUM(F21:F26)</f>
        <v>69</v>
      </c>
      <c r="G27" s="42"/>
      <c r="H27" s="51"/>
    </row>
    <row r="28" spans="1:8" ht="15.75">
      <c r="A28" s="45"/>
      <c r="B28" s="53"/>
      <c r="C28" s="199"/>
      <c r="D28" s="353" t="s">
        <v>248</v>
      </c>
      <c r="E28" s="353"/>
      <c r="F28" s="169">
        <v>18</v>
      </c>
      <c r="G28" s="42"/>
      <c r="H28" s="51"/>
    </row>
    <row r="29" spans="1:8" ht="15.75">
      <c r="A29" s="45"/>
      <c r="B29" s="53"/>
      <c r="C29" s="199"/>
      <c r="D29" s="353" t="s">
        <v>318</v>
      </c>
      <c r="E29" s="353"/>
      <c r="F29" s="169">
        <f>F27-F28</f>
        <v>51</v>
      </c>
      <c r="G29" s="273" t="s">
        <v>307</v>
      </c>
      <c r="H29" s="51"/>
    </row>
    <row r="30" spans="1:8" ht="15.75">
      <c r="A30" s="45"/>
      <c r="B30" s="53"/>
      <c r="C30" s="42"/>
      <c r="D30" s="200"/>
      <c r="E30" s="200"/>
      <c r="F30" s="200"/>
      <c r="G30" s="42"/>
      <c r="H30" s="51"/>
    </row>
    <row r="31" spans="1:8" ht="15.75">
      <c r="A31" s="45"/>
      <c r="B31" s="53"/>
      <c r="C31" s="42"/>
      <c r="D31" s="200"/>
      <c r="E31" s="200"/>
      <c r="F31" s="200"/>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5" t="s">
        <v>139</v>
      </c>
      <c r="B52" s="306"/>
      <c r="C52" s="306"/>
      <c r="D52" s="306"/>
      <c r="E52" s="306"/>
      <c r="F52" s="306"/>
      <c r="G52" s="306"/>
      <c r="H52" s="307"/>
    </row>
    <row r="53" spans="1:8" ht="15.75">
      <c r="A53" s="56"/>
      <c r="B53" s="40"/>
      <c r="C53" s="57"/>
      <c r="D53" s="57"/>
      <c r="E53" s="57"/>
      <c r="F53" s="58"/>
      <c r="G53" s="59"/>
      <c r="H53" s="60"/>
    </row>
    <row r="54" spans="1:8">
      <c r="A54" s="34"/>
      <c r="B54" s="36"/>
      <c r="C54" s="37"/>
      <c r="D54" s="38"/>
      <c r="E54" s="39"/>
      <c r="F54" s="37"/>
      <c r="G54" s="37"/>
      <c r="H54" s="37"/>
    </row>
  </sheetData>
  <mergeCells count="12">
    <mergeCell ref="C8:E8"/>
    <mergeCell ref="C9:D9"/>
    <mergeCell ref="D36:F36"/>
    <mergeCell ref="A52:H52"/>
    <mergeCell ref="A2:H2"/>
    <mergeCell ref="A3:H3"/>
    <mergeCell ref="A4:H4"/>
    <mergeCell ref="B5:H5"/>
    <mergeCell ref="B6:H6"/>
    <mergeCell ref="B7:F7"/>
    <mergeCell ref="D28:E28"/>
    <mergeCell ref="D29:E29"/>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H54"/>
  <sheetViews>
    <sheetView topLeftCell="A4" workbookViewId="0">
      <selection activeCell="D12" sqref="D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c r="A7" s="68">
        <v>114</v>
      </c>
      <c r="B7" s="323" t="s">
        <v>143</v>
      </c>
      <c r="C7" s="323"/>
      <c r="D7" s="323"/>
      <c r="E7" s="323"/>
      <c r="F7" s="323"/>
      <c r="G7" s="323"/>
      <c r="H7" s="349"/>
    </row>
    <row r="8" spans="1:8" ht="15.75" customHeight="1">
      <c r="A8" s="69"/>
      <c r="B8" s="322"/>
      <c r="C8" s="323"/>
      <c r="D8" s="323"/>
      <c r="E8" s="323"/>
      <c r="F8" s="323"/>
      <c r="G8" s="70" t="s">
        <v>125</v>
      </c>
      <c r="H8" s="90" t="s">
        <v>140</v>
      </c>
    </row>
    <row r="9" spans="1:8">
      <c r="A9" s="45"/>
      <c r="B9" s="46"/>
      <c r="C9" s="308"/>
      <c r="D9" s="308"/>
      <c r="E9" s="308"/>
      <c r="F9" s="47"/>
      <c r="G9" s="61"/>
      <c r="H9" s="48"/>
    </row>
    <row r="10" spans="1:8" ht="15.75">
      <c r="A10" s="49" t="s">
        <v>113</v>
      </c>
      <c r="B10" s="46"/>
      <c r="C10" s="332"/>
      <c r="D10" s="332"/>
      <c r="E10" s="61"/>
      <c r="F10" s="47"/>
      <c r="G10" s="61"/>
      <c r="H10" s="48"/>
    </row>
    <row r="11" spans="1:8" ht="15.75">
      <c r="A11" s="45"/>
      <c r="B11" s="73" t="s">
        <v>114</v>
      </c>
      <c r="C11" s="73" t="s">
        <v>44</v>
      </c>
      <c r="D11" s="73" t="s">
        <v>319</v>
      </c>
      <c r="E11" s="74"/>
      <c r="F11" s="74" t="s">
        <v>260</v>
      </c>
      <c r="G11" s="74" t="s">
        <v>9</v>
      </c>
      <c r="H11" s="48"/>
    </row>
    <row r="12" spans="1:8">
      <c r="A12" s="72"/>
      <c r="B12" s="75" t="s">
        <v>152</v>
      </c>
      <c r="C12" s="76">
        <v>12</v>
      </c>
      <c r="D12" s="91">
        <v>1</v>
      </c>
      <c r="E12" s="77"/>
      <c r="F12" s="78">
        <v>1</v>
      </c>
      <c r="G12" s="78">
        <f>0.08*F12</f>
        <v>0.08</v>
      </c>
      <c r="H12" s="48"/>
    </row>
    <row r="13" spans="1:8" ht="15.75">
      <c r="A13" s="45"/>
      <c r="B13" s="87" t="s">
        <v>9</v>
      </c>
      <c r="C13" s="88"/>
      <c r="D13" s="88"/>
      <c r="E13" s="88"/>
      <c r="F13" s="88"/>
      <c r="G13" s="89">
        <f>SUM(G12:G12)</f>
        <v>0.08</v>
      </c>
      <c r="H13" s="48"/>
    </row>
    <row r="14" spans="1:8">
      <c r="A14" s="45"/>
      <c r="B14" s="42"/>
      <c r="C14" s="42"/>
      <c r="D14" s="42"/>
      <c r="E14" s="42"/>
      <c r="F14" s="42"/>
      <c r="G14" s="42"/>
      <c r="H14" s="48"/>
    </row>
    <row r="15" spans="1:8" ht="15.75">
      <c r="A15" s="50"/>
      <c r="B15" s="79" t="s">
        <v>117</v>
      </c>
      <c r="C15" s="80">
        <v>1</v>
      </c>
      <c r="D15" s="42"/>
      <c r="E15" s="42"/>
      <c r="F15" s="42"/>
      <c r="G15" s="42"/>
      <c r="H15" s="51"/>
    </row>
    <row r="16" spans="1:8" ht="15.75">
      <c r="A16" s="52"/>
      <c r="B16" s="79" t="s">
        <v>118</v>
      </c>
      <c r="C16" s="80">
        <f>0.32+0.08+0.08+0.08</f>
        <v>0.56000000000000005</v>
      </c>
      <c r="D16" s="92"/>
      <c r="F16" s="42"/>
      <c r="G16" s="42"/>
      <c r="H16" s="51"/>
    </row>
    <row r="17" spans="1:8" ht="15.75">
      <c r="A17" s="52"/>
      <c r="B17" s="79" t="s">
        <v>119</v>
      </c>
      <c r="C17" s="80">
        <f>C15-C16</f>
        <v>0.43999999999999995</v>
      </c>
      <c r="D17" s="42"/>
      <c r="E17" s="42"/>
      <c r="F17" s="42"/>
      <c r="G17" s="42"/>
      <c r="H17" s="51"/>
    </row>
    <row r="18" spans="1:8" ht="15.75">
      <c r="A18" s="63"/>
      <c r="B18" s="79" t="s">
        <v>120</v>
      </c>
      <c r="C18" s="80"/>
      <c r="D18" s="42"/>
      <c r="E18" s="42"/>
      <c r="F18" s="42"/>
      <c r="G18" s="42"/>
      <c r="H18" s="51"/>
    </row>
    <row r="19" spans="1:8" ht="15.75">
      <c r="A19" s="63"/>
      <c r="B19" s="79" t="s">
        <v>121</v>
      </c>
      <c r="C19" s="80">
        <f>G13</f>
        <v>0.08</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5" t="s">
        <v>153</v>
      </c>
      <c r="B52" s="306"/>
      <c r="C52" s="306"/>
      <c r="D52" s="306"/>
      <c r="E52" s="306"/>
      <c r="F52" s="306"/>
      <c r="G52" s="306"/>
      <c r="H52" s="307"/>
    </row>
    <row r="53" spans="1:8" ht="15.75" customHeight="1">
      <c r="A53" s="354"/>
      <c r="B53" s="355"/>
      <c r="C53" s="355"/>
      <c r="D53" s="355"/>
      <c r="E53" s="355"/>
      <c r="F53" s="355"/>
      <c r="G53" s="355"/>
      <c r="H53" s="356"/>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H54"/>
  <sheetViews>
    <sheetView topLeftCell="A7" workbookViewId="0">
      <selection activeCell="B7" sqref="B7:H7"/>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48" customHeight="1">
      <c r="A7" s="68">
        <v>115</v>
      </c>
      <c r="B7" s="323" t="s">
        <v>144</v>
      </c>
      <c r="C7" s="323"/>
      <c r="D7" s="323"/>
      <c r="E7" s="323"/>
      <c r="F7" s="323"/>
      <c r="G7" s="323"/>
      <c r="H7" s="349"/>
    </row>
    <row r="8" spans="1:8" ht="15.75" customHeight="1">
      <c r="A8" s="69"/>
      <c r="B8" s="322"/>
      <c r="C8" s="323"/>
      <c r="D8" s="323"/>
      <c r="E8" s="323"/>
      <c r="F8" s="323"/>
      <c r="G8" s="70" t="s">
        <v>125</v>
      </c>
      <c r="H8" s="90" t="s">
        <v>140</v>
      </c>
    </row>
    <row r="9" spans="1:8">
      <c r="A9" s="45"/>
      <c r="B9" s="46"/>
      <c r="C9" s="308"/>
      <c r="D9" s="308"/>
      <c r="E9" s="308"/>
      <c r="F9" s="47"/>
      <c r="G9" s="61"/>
      <c r="H9" s="48"/>
    </row>
    <row r="10" spans="1:8" ht="15.75">
      <c r="A10" s="49" t="s">
        <v>113</v>
      </c>
      <c r="B10" s="46"/>
      <c r="C10" s="332"/>
      <c r="D10" s="332"/>
      <c r="E10" s="61"/>
      <c r="F10" s="47"/>
      <c r="G10" s="61"/>
      <c r="H10" s="48"/>
    </row>
    <row r="11" spans="1:8" ht="15.75">
      <c r="A11" s="45"/>
      <c r="B11" s="73" t="s">
        <v>114</v>
      </c>
      <c r="C11" s="73" t="s">
        <v>44</v>
      </c>
      <c r="D11" s="73"/>
      <c r="E11" s="74"/>
      <c r="F11" s="74"/>
      <c r="G11" s="74" t="s">
        <v>9</v>
      </c>
      <c r="H11" s="48"/>
    </row>
    <row r="12" spans="1:8">
      <c r="A12" s="72"/>
      <c r="B12" s="75" t="s">
        <v>159</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8" ht="15.75">
      <c r="A17" s="52"/>
      <c r="B17" s="79" t="s">
        <v>119</v>
      </c>
      <c r="C17" s="80">
        <f>C15-C16</f>
        <v>0</v>
      </c>
      <c r="D17" s="42"/>
      <c r="E17" s="42"/>
      <c r="F17" s="42"/>
      <c r="G17" s="42"/>
      <c r="H17" s="51"/>
    </row>
    <row r="18" spans="1:8" ht="15.75">
      <c r="A18" s="63"/>
      <c r="B18" s="79" t="s">
        <v>120</v>
      </c>
      <c r="C18" s="80"/>
      <c r="D18" s="42"/>
      <c r="E18" s="42"/>
      <c r="F18" s="42"/>
      <c r="G18" s="42"/>
      <c r="H18" s="51"/>
    </row>
    <row r="19" spans="1:8" ht="15.75">
      <c r="A19" s="63"/>
      <c r="B19" s="79" t="s">
        <v>121</v>
      </c>
      <c r="C19" s="80">
        <f>G12</f>
        <v>0</v>
      </c>
      <c r="D19" s="42"/>
      <c r="E19" s="42"/>
      <c r="F19" s="42"/>
      <c r="G19" s="42"/>
      <c r="H19" s="51"/>
    </row>
    <row r="20" spans="1:8">
      <c r="A20" s="63"/>
      <c r="H20" s="51"/>
    </row>
    <row r="21" spans="1:8">
      <c r="A21" s="145">
        <v>1</v>
      </c>
      <c r="B21" s="357" t="s">
        <v>170</v>
      </c>
      <c r="C21" s="357"/>
      <c r="D21" s="357"/>
      <c r="H21" s="51"/>
    </row>
    <row r="22" spans="1:8">
      <c r="A22" s="145">
        <v>2</v>
      </c>
      <c r="B22" s="357" t="s">
        <v>182</v>
      </c>
      <c r="C22" s="357"/>
      <c r="D22" s="357"/>
      <c r="H22" s="51"/>
    </row>
    <row r="23" spans="1:8">
      <c r="A23" s="145">
        <v>3</v>
      </c>
      <c r="B23" s="357" t="s">
        <v>171</v>
      </c>
      <c r="C23" s="357"/>
      <c r="D23" s="357"/>
      <c r="H23" s="51"/>
    </row>
    <row r="24" spans="1:8">
      <c r="A24" s="145">
        <v>4</v>
      </c>
      <c r="B24" s="357" t="s">
        <v>172</v>
      </c>
      <c r="C24" s="357"/>
      <c r="D24" s="357"/>
      <c r="H24" s="51"/>
    </row>
    <row r="25" spans="1:8">
      <c r="A25" s="145">
        <v>5</v>
      </c>
      <c r="B25" s="357" t="s">
        <v>173</v>
      </c>
      <c r="C25" s="357"/>
      <c r="D25" s="357"/>
      <c r="E25" s="42"/>
      <c r="F25" s="42"/>
      <c r="G25" s="42"/>
      <c r="H25" s="51"/>
    </row>
    <row r="26" spans="1:8">
      <c r="A26" s="145">
        <v>6</v>
      </c>
      <c r="B26" s="357" t="s">
        <v>174</v>
      </c>
      <c r="C26" s="357"/>
      <c r="D26" s="357"/>
      <c r="E26" s="42"/>
      <c r="F26" s="42"/>
      <c r="G26" s="42"/>
      <c r="H26" s="51"/>
    </row>
    <row r="27" spans="1:8">
      <c r="A27" s="145">
        <v>7</v>
      </c>
      <c r="B27" s="357" t="s">
        <v>175</v>
      </c>
      <c r="C27" s="357"/>
      <c r="D27" s="357"/>
      <c r="E27" s="42"/>
      <c r="F27" s="42"/>
      <c r="G27" s="42"/>
      <c r="H27" s="51"/>
    </row>
    <row r="28" spans="1:8">
      <c r="A28" s="145">
        <v>8</v>
      </c>
      <c r="B28" s="357" t="s">
        <v>176</v>
      </c>
      <c r="C28" s="357"/>
      <c r="D28" s="357"/>
      <c r="E28" s="42"/>
      <c r="F28" s="42"/>
      <c r="G28" s="42"/>
      <c r="H28" s="51"/>
    </row>
    <row r="29" spans="1:8">
      <c r="A29" s="145">
        <v>9</v>
      </c>
      <c r="B29" s="357" t="s">
        <v>177</v>
      </c>
      <c r="C29" s="357"/>
      <c r="D29" s="357"/>
      <c r="E29" s="42"/>
      <c r="F29" s="42"/>
      <c r="G29" s="42"/>
      <c r="H29" s="51"/>
    </row>
    <row r="30" spans="1:8">
      <c r="A30" s="145">
        <v>10</v>
      </c>
      <c r="B30" s="357" t="s">
        <v>178</v>
      </c>
      <c r="C30" s="357"/>
      <c r="D30" s="357"/>
      <c r="E30" s="42"/>
      <c r="G30" s="42"/>
      <c r="H30" s="51"/>
    </row>
    <row r="31" spans="1:8">
      <c r="A31" s="145">
        <v>11</v>
      </c>
      <c r="B31" s="357" t="s">
        <v>179</v>
      </c>
      <c r="C31" s="357"/>
      <c r="D31" s="357"/>
      <c r="E31" s="42"/>
      <c r="F31" s="42"/>
      <c r="G31" s="42"/>
      <c r="H31" s="51"/>
    </row>
    <row r="32" spans="1:8">
      <c r="A32" s="145">
        <v>12</v>
      </c>
      <c r="B32" s="357" t="s">
        <v>180</v>
      </c>
      <c r="C32" s="357"/>
      <c r="D32" s="357"/>
      <c r="E32" s="42"/>
      <c r="F32" s="42"/>
      <c r="G32" s="42"/>
      <c r="H32" s="51"/>
    </row>
    <row r="33" spans="1:8">
      <c r="A33" s="145">
        <v>13</v>
      </c>
      <c r="B33" s="357" t="s">
        <v>181</v>
      </c>
      <c r="C33" s="357"/>
      <c r="D33" s="357"/>
      <c r="E33" s="42"/>
      <c r="F33" s="42"/>
      <c r="G33" s="42"/>
      <c r="H33" s="51"/>
    </row>
    <row r="34" spans="1:8">
      <c r="A34" s="145">
        <v>14</v>
      </c>
      <c r="B34" s="357" t="s">
        <v>186</v>
      </c>
      <c r="C34" s="357"/>
      <c r="D34" s="357"/>
      <c r="E34" s="42"/>
      <c r="F34" s="42"/>
      <c r="G34" s="42"/>
      <c r="H34" s="51"/>
    </row>
    <row r="35" spans="1:8">
      <c r="A35" s="145">
        <v>15</v>
      </c>
      <c r="B35" s="357" t="s">
        <v>190</v>
      </c>
      <c r="C35" s="357"/>
      <c r="D35" s="357"/>
      <c r="E35" s="144"/>
      <c r="F35" s="158"/>
      <c r="G35" s="42"/>
      <c r="H35" s="51"/>
    </row>
    <row r="36" spans="1:8" ht="15.75">
      <c r="A36" s="145">
        <v>16</v>
      </c>
      <c r="B36" s="357" t="s">
        <v>191</v>
      </c>
      <c r="C36" s="357"/>
      <c r="D36" s="357"/>
      <c r="E36" s="144"/>
      <c r="F36" s="158"/>
      <c r="G36" s="124"/>
      <c r="H36" s="51"/>
    </row>
    <row r="37" spans="1:8">
      <c r="A37" s="145">
        <v>17</v>
      </c>
      <c r="B37" s="357" t="s">
        <v>192</v>
      </c>
      <c r="C37" s="357"/>
      <c r="D37" s="357"/>
      <c r="E37" s="144"/>
      <c r="F37" s="158"/>
      <c r="G37" s="42"/>
      <c r="H37" s="51"/>
    </row>
    <row r="38" spans="1:8" ht="15.75">
      <c r="A38" s="145">
        <v>18</v>
      </c>
      <c r="B38" s="357" t="s">
        <v>193</v>
      </c>
      <c r="C38" s="357"/>
      <c r="D38" s="357"/>
      <c r="E38" s="144"/>
      <c r="F38" s="158"/>
      <c r="G38" s="35"/>
      <c r="H38" s="54"/>
    </row>
    <row r="39" spans="1:8" ht="15.75">
      <c r="A39" s="145">
        <v>19</v>
      </c>
      <c r="B39" s="357" t="s">
        <v>194</v>
      </c>
      <c r="C39" s="357"/>
      <c r="D39" s="357"/>
      <c r="E39" s="144"/>
      <c r="F39" s="158"/>
      <c r="G39" s="35"/>
      <c r="H39" s="54"/>
    </row>
    <row r="40" spans="1:8" ht="15.75">
      <c r="A40" s="145">
        <v>20</v>
      </c>
      <c r="B40" s="357" t="s">
        <v>195</v>
      </c>
      <c r="C40" s="357"/>
      <c r="D40" s="357"/>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5" t="s">
        <v>145</v>
      </c>
      <c r="B52" s="306"/>
      <c r="C52" s="306"/>
      <c r="D52" s="306"/>
      <c r="E52" s="306"/>
      <c r="F52" s="306"/>
      <c r="G52" s="306"/>
      <c r="H52" s="307"/>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H61"/>
  <sheetViews>
    <sheetView topLeftCell="A31" workbookViewId="0">
      <selection activeCell="K49" sqref="K49"/>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2</v>
      </c>
      <c r="B6" s="318" t="s">
        <v>187</v>
      </c>
      <c r="C6" s="318"/>
      <c r="D6" s="318"/>
      <c r="E6" s="318"/>
      <c r="F6" s="318"/>
      <c r="G6" s="318"/>
      <c r="H6" s="319"/>
    </row>
    <row r="7" spans="1:8" ht="64.5" customHeight="1">
      <c r="A7" s="68">
        <v>201</v>
      </c>
      <c r="B7" s="323" t="s">
        <v>72</v>
      </c>
      <c r="C7" s="323"/>
      <c r="D7" s="323"/>
      <c r="E7" s="323"/>
      <c r="F7" s="323"/>
      <c r="G7" s="323"/>
      <c r="H7" s="349"/>
    </row>
    <row r="8" spans="1:8" ht="15.75" customHeight="1">
      <c r="A8" s="69"/>
      <c r="B8" s="322"/>
      <c r="C8" s="323"/>
      <c r="D8" s="323"/>
      <c r="E8" s="323"/>
      <c r="F8" s="323"/>
      <c r="G8" s="70" t="s">
        <v>125</v>
      </c>
      <c r="H8" s="90" t="s">
        <v>206</v>
      </c>
    </row>
    <row r="9" spans="1:8">
      <c r="A9" s="45"/>
      <c r="B9" s="46"/>
      <c r="C9" s="308"/>
      <c r="D9" s="308"/>
      <c r="E9" s="308"/>
      <c r="F9" s="47"/>
      <c r="G9" s="149"/>
      <c r="H9" s="48"/>
    </row>
    <row r="10" spans="1:8" ht="15.75">
      <c r="A10" s="49" t="s">
        <v>113</v>
      </c>
      <c r="B10" s="46"/>
      <c r="C10" s="332"/>
      <c r="D10" s="332"/>
      <c r="E10" s="149"/>
      <c r="F10" s="47"/>
      <c r="G10" s="149"/>
      <c r="H10" s="48"/>
    </row>
    <row r="11" spans="1:8" ht="15.75">
      <c r="A11" s="45"/>
      <c r="B11" s="73" t="s">
        <v>114</v>
      </c>
      <c r="C11" s="73" t="s">
        <v>44</v>
      </c>
      <c r="D11" s="73"/>
      <c r="E11" s="74"/>
      <c r="F11" s="74"/>
      <c r="G11" s="74" t="s">
        <v>9</v>
      </c>
      <c r="H11" s="48"/>
    </row>
    <row r="12" spans="1:8">
      <c r="A12" s="72"/>
      <c r="B12" s="75" t="s">
        <v>188</v>
      </c>
      <c r="C12" s="76"/>
      <c r="D12" s="91"/>
      <c r="E12" s="77"/>
      <c r="F12" s="78"/>
      <c r="G12" s="78">
        <f>H28</f>
        <v>644.27729999999997</v>
      </c>
      <c r="H12" s="48"/>
    </row>
    <row r="13" spans="1:8" ht="15.75">
      <c r="A13" s="45"/>
      <c r="B13" s="87" t="s">
        <v>9</v>
      </c>
      <c r="C13" s="88"/>
      <c r="D13" s="88"/>
      <c r="E13" s="88"/>
      <c r="F13" s="88"/>
      <c r="G13" s="89">
        <f>G12</f>
        <v>644.27729999999997</v>
      </c>
      <c r="H13" s="48"/>
    </row>
    <row r="14" spans="1:8">
      <c r="A14" s="45"/>
      <c r="B14" s="42"/>
      <c r="C14" s="42"/>
      <c r="D14" s="42"/>
      <c r="E14" s="42"/>
      <c r="F14" s="42"/>
      <c r="G14" s="42"/>
      <c r="H14" s="48"/>
    </row>
    <row r="15" spans="1:8" ht="15.75">
      <c r="A15" s="50"/>
      <c r="B15" s="79" t="s">
        <v>117</v>
      </c>
      <c r="C15" s="80">
        <f>'BM07'!D28</f>
        <v>4300</v>
      </c>
      <c r="D15" s="207"/>
      <c r="E15" s="42"/>
      <c r="F15" s="42"/>
      <c r="G15" s="42"/>
      <c r="H15" s="51"/>
    </row>
    <row r="16" spans="1:8" ht="15.75">
      <c r="A16" s="52"/>
      <c r="B16" s="79" t="s">
        <v>118</v>
      </c>
      <c r="C16" s="80">
        <f>2006.76+H28</f>
        <v>2651.0373</v>
      </c>
      <c r="D16" s="208"/>
      <c r="E16" s="42"/>
      <c r="F16" s="42"/>
      <c r="G16" s="42"/>
      <c r="H16" s="51"/>
    </row>
    <row r="17" spans="1:8" ht="15.75">
      <c r="A17" s="52"/>
      <c r="B17" s="79" t="s">
        <v>119</v>
      </c>
      <c r="C17" s="80">
        <f>C15-C16</f>
        <v>1648.9627</v>
      </c>
      <c r="D17" s="42"/>
      <c r="E17" s="42"/>
      <c r="F17" s="42"/>
      <c r="G17" s="42"/>
      <c r="H17" s="51"/>
    </row>
    <row r="18" spans="1:8" ht="15.75">
      <c r="A18" s="148"/>
      <c r="B18" s="79" t="s">
        <v>120</v>
      </c>
      <c r="C18" s="80"/>
      <c r="D18" s="42"/>
      <c r="E18" s="42"/>
      <c r="F18" s="42"/>
      <c r="G18" s="42"/>
      <c r="H18" s="51"/>
    </row>
    <row r="19" spans="1:8" ht="15.75">
      <c r="A19" s="148"/>
      <c r="B19" s="79" t="s">
        <v>121</v>
      </c>
      <c r="C19" s="80">
        <f>G12</f>
        <v>644.27729999999997</v>
      </c>
      <c r="D19" s="42"/>
      <c r="E19" s="42"/>
      <c r="F19" s="42"/>
      <c r="G19" s="42"/>
      <c r="H19" s="51"/>
    </row>
    <row r="20" spans="1:8" ht="15.75">
      <c r="A20" s="148"/>
      <c r="B20" s="159"/>
      <c r="C20" s="160"/>
      <c r="D20" s="42"/>
      <c r="E20" s="42"/>
      <c r="F20" s="42"/>
      <c r="G20" s="42"/>
      <c r="H20" s="51"/>
    </row>
    <row r="21" spans="1:8">
      <c r="A21" s="174"/>
      <c r="B21" s="358" t="s">
        <v>278</v>
      </c>
      <c r="C21" s="358"/>
      <c r="D21" s="358"/>
      <c r="H21" s="51"/>
    </row>
    <row r="22" spans="1:8">
      <c r="A22" s="174"/>
      <c r="B22" s="358" t="s">
        <v>188</v>
      </c>
      <c r="C22" s="358"/>
      <c r="D22" s="358"/>
      <c r="H22" s="51"/>
    </row>
    <row r="23" spans="1:8">
      <c r="A23" s="174"/>
      <c r="B23" s="166" t="s">
        <v>209</v>
      </c>
      <c r="C23" s="167" t="s">
        <v>276</v>
      </c>
      <c r="D23" s="167" t="s">
        <v>277</v>
      </c>
      <c r="E23" s="166" t="s">
        <v>210</v>
      </c>
      <c r="F23" s="220" t="s">
        <v>102</v>
      </c>
      <c r="G23" s="168" t="s">
        <v>220</v>
      </c>
      <c r="H23" s="169" t="s">
        <v>221</v>
      </c>
    </row>
    <row r="24" spans="1:8">
      <c r="A24" s="174"/>
      <c r="B24" s="168" t="s">
        <v>211</v>
      </c>
      <c r="C24" s="194">
        <v>91.417500000000004</v>
      </c>
      <c r="D24" s="194">
        <v>12.31</v>
      </c>
      <c r="E24" s="220" t="s">
        <v>206</v>
      </c>
      <c r="F24" s="175">
        <v>44501</v>
      </c>
      <c r="G24" s="240">
        <v>1074.92</v>
      </c>
      <c r="H24" s="168"/>
    </row>
    <row r="25" spans="1:8">
      <c r="A25" s="174"/>
      <c r="B25" s="168" t="s">
        <v>212</v>
      </c>
      <c r="C25" s="194">
        <v>170.01200000000003</v>
      </c>
      <c r="D25" s="194">
        <v>22.98</v>
      </c>
      <c r="E25" s="220" t="s">
        <v>206</v>
      </c>
      <c r="F25" s="175">
        <v>44531</v>
      </c>
      <c r="G25" s="183">
        <v>1247.6699999999998</v>
      </c>
      <c r="H25" s="168"/>
    </row>
    <row r="26" spans="1:8">
      <c r="A26" s="174"/>
      <c r="B26" s="168" t="s">
        <v>213</v>
      </c>
      <c r="C26" s="195">
        <v>133.50800000000001</v>
      </c>
      <c r="D26" s="194">
        <v>14.22</v>
      </c>
      <c r="E26" s="220" t="s">
        <v>206</v>
      </c>
      <c r="F26" s="237">
        <v>44562</v>
      </c>
      <c r="G26" s="238">
        <v>1926.5070000000001</v>
      </c>
      <c r="H26" s="238"/>
    </row>
    <row r="27" spans="1:8">
      <c r="A27" s="174"/>
      <c r="B27" s="168" t="s">
        <v>214</v>
      </c>
      <c r="C27" s="195">
        <v>538.995</v>
      </c>
      <c r="D27" s="194">
        <v>66.98</v>
      </c>
      <c r="E27" s="220" t="s">
        <v>206</v>
      </c>
      <c r="F27" s="175">
        <v>44593</v>
      </c>
      <c r="G27" s="183">
        <v>2006.76</v>
      </c>
      <c r="H27" s="183"/>
    </row>
    <row r="28" spans="1:8">
      <c r="A28" s="174"/>
      <c r="B28" s="168" t="s">
        <v>215</v>
      </c>
      <c r="C28" s="195">
        <v>133.50800000000001</v>
      </c>
      <c r="D28" s="194"/>
      <c r="E28" s="220" t="s">
        <v>206</v>
      </c>
      <c r="F28" s="175">
        <v>44621</v>
      </c>
      <c r="G28" s="183">
        <f>C40</f>
        <v>2651.0373</v>
      </c>
      <c r="H28" s="183">
        <f>G28-G27</f>
        <v>644.27729999999997</v>
      </c>
    </row>
    <row r="29" spans="1:8">
      <c r="A29" s="174"/>
      <c r="B29" s="168" t="s">
        <v>216</v>
      </c>
      <c r="C29" s="194">
        <v>170.01200000000003</v>
      </c>
      <c r="D29" s="194"/>
      <c r="E29" s="169" t="s">
        <v>206</v>
      </c>
      <c r="H29" s="239"/>
    </row>
    <row r="30" spans="1:8">
      <c r="A30" s="174"/>
      <c r="B30" s="168" t="s">
        <v>219</v>
      </c>
      <c r="C30" s="194">
        <v>91.417500000000004</v>
      </c>
      <c r="D30" s="194"/>
      <c r="E30" s="169" t="s">
        <v>206</v>
      </c>
      <c r="H30" s="239"/>
    </row>
    <row r="31" spans="1:8">
      <c r="A31" s="148"/>
      <c r="B31" s="168" t="s">
        <v>230</v>
      </c>
      <c r="C31" s="180">
        <v>150.52000000000001</v>
      </c>
      <c r="D31" s="194"/>
      <c r="E31" s="169" t="s">
        <v>206</v>
      </c>
      <c r="H31" s="239"/>
    </row>
    <row r="32" spans="1:8">
      <c r="A32" s="148"/>
      <c r="B32" s="168" t="s">
        <v>231</v>
      </c>
      <c r="C32" s="180">
        <v>73.378500000000003</v>
      </c>
      <c r="D32" s="194"/>
      <c r="E32" s="169" t="s">
        <v>206</v>
      </c>
      <c r="H32" s="239"/>
    </row>
    <row r="33" spans="1:8" ht="15" customHeight="1">
      <c r="A33" s="148"/>
      <c r="B33" s="168" t="s">
        <v>232</v>
      </c>
      <c r="C33" s="180">
        <f>[3]ÁREAS!$L$17</f>
        <v>20.16</v>
      </c>
      <c r="D33" s="194"/>
      <c r="E33" s="169" t="s">
        <v>206</v>
      </c>
      <c r="H33" s="239"/>
    </row>
    <row r="34" spans="1:8" ht="15" customHeight="1">
      <c r="A34" s="148"/>
      <c r="B34" s="168" t="s">
        <v>233</v>
      </c>
      <c r="C34" s="180">
        <f>'[3]Demolição 102'!$C$48</f>
        <v>292.00880000000001</v>
      </c>
      <c r="D34" s="194"/>
      <c r="E34" s="169" t="s">
        <v>206</v>
      </c>
      <c r="H34" s="239"/>
    </row>
    <row r="35" spans="1:8" ht="15" customHeight="1">
      <c r="A35" s="148"/>
      <c r="B35" s="168" t="s">
        <v>234</v>
      </c>
      <c r="C35" s="180">
        <f>[3]ÁREAS!$K$19</f>
        <v>158.72</v>
      </c>
      <c r="D35" s="194"/>
      <c r="E35" s="169" t="s">
        <v>206</v>
      </c>
      <c r="H35" s="239"/>
    </row>
    <row r="36" spans="1:8" ht="15" customHeight="1">
      <c r="A36" s="223"/>
      <c r="B36" s="168" t="s">
        <v>262</v>
      </c>
      <c r="C36" s="180">
        <f>[3]ÁREAS!$K$20</f>
        <v>77.38</v>
      </c>
      <c r="D36" s="194"/>
      <c r="E36" s="169" t="s">
        <v>206</v>
      </c>
      <c r="H36" s="239"/>
    </row>
    <row r="37" spans="1:8" ht="15" customHeight="1">
      <c r="A37" s="223"/>
      <c r="B37" s="168" t="s">
        <v>263</v>
      </c>
      <c r="C37" s="180">
        <f>[3]ÁREAS!$L$21</f>
        <v>20.16</v>
      </c>
      <c r="D37" s="194"/>
      <c r="E37" s="169" t="s">
        <v>206</v>
      </c>
      <c r="H37" s="239"/>
    </row>
    <row r="38" spans="1:8" ht="15" customHeight="1">
      <c r="A38" s="223"/>
      <c r="B38" s="168" t="s">
        <v>264</v>
      </c>
      <c r="C38" s="180">
        <f>[3]ÁREAS!$K$22</f>
        <v>288.44</v>
      </c>
      <c r="D38" s="194"/>
      <c r="E38" s="169" t="s">
        <v>206</v>
      </c>
      <c r="H38" s="239"/>
    </row>
    <row r="39" spans="1:8" ht="15" customHeight="1">
      <c r="A39" s="256"/>
      <c r="B39" s="168" t="s">
        <v>320</v>
      </c>
      <c r="C39" s="180">
        <f>[3]ÁREAS!$K$32</f>
        <v>124.91</v>
      </c>
      <c r="D39" s="194"/>
      <c r="E39" s="169" t="s">
        <v>206</v>
      </c>
      <c r="H39" s="239"/>
    </row>
    <row r="40" spans="1:8">
      <c r="A40" s="148"/>
      <c r="B40" s="247" t="s">
        <v>9</v>
      </c>
      <c r="C40" s="248">
        <f>SUM(C24:C39)+SUM(D24:D39)</f>
        <v>2651.0373</v>
      </c>
      <c r="D40" s="249"/>
      <c r="E40" s="250" t="s">
        <v>206</v>
      </c>
      <c r="H40" s="239"/>
    </row>
    <row r="41" spans="1:8">
      <c r="A41" s="148"/>
      <c r="C41" s="241"/>
      <c r="D41" s="242"/>
      <c r="E41" s="241"/>
      <c r="H41" s="51"/>
    </row>
    <row r="42" spans="1:8">
      <c r="A42" s="198"/>
      <c r="C42" s="141"/>
      <c r="D42" s="243"/>
      <c r="E42" s="141"/>
      <c r="H42" s="51"/>
    </row>
    <row r="43" spans="1:8">
      <c r="A43" s="198"/>
      <c r="C43" s="141"/>
      <c r="D43" s="141"/>
      <c r="E43" s="141"/>
      <c r="H43" s="51"/>
    </row>
    <row r="44" spans="1:8">
      <c r="A44" s="198"/>
      <c r="H44" s="51"/>
    </row>
    <row r="45" spans="1:8">
      <c r="A45" s="148"/>
      <c r="H45" s="51"/>
    </row>
    <row r="46" spans="1:8">
      <c r="A46" s="148"/>
      <c r="H46" s="51"/>
    </row>
    <row r="47" spans="1:8">
      <c r="A47" s="148"/>
      <c r="H47" s="51"/>
    </row>
    <row r="48" spans="1:8" ht="15.75">
      <c r="A48" s="45"/>
      <c r="H48" s="54"/>
    </row>
    <row r="49" spans="1:8" ht="15.75">
      <c r="A49" s="45"/>
      <c r="H49" s="54"/>
    </row>
    <row r="50" spans="1:8" ht="15.75">
      <c r="A50" s="45"/>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46"/>
      <c r="C57" s="149"/>
      <c r="D57" s="149"/>
      <c r="E57" s="149"/>
      <c r="F57" s="47"/>
      <c r="G57" s="55"/>
      <c r="H57" s="48"/>
    </row>
    <row r="58" spans="1:8" ht="15.75">
      <c r="A58" s="81" t="s">
        <v>122</v>
      </c>
      <c r="B58" s="82"/>
      <c r="C58" s="83"/>
      <c r="D58" s="84"/>
      <c r="E58" s="85"/>
      <c r="F58" s="83"/>
      <c r="G58" s="83"/>
      <c r="H58" s="86"/>
    </row>
    <row r="59" spans="1:8" ht="15" customHeight="1">
      <c r="A59" s="305" t="s">
        <v>189</v>
      </c>
      <c r="B59" s="306"/>
      <c r="C59" s="306"/>
      <c r="D59" s="306"/>
      <c r="E59" s="306"/>
      <c r="F59" s="306"/>
      <c r="G59" s="306"/>
      <c r="H59" s="307"/>
    </row>
    <row r="60" spans="1:8" ht="15.75">
      <c r="A60" s="56"/>
      <c r="B60" s="40"/>
      <c r="C60" s="150"/>
      <c r="D60" s="150"/>
      <c r="E60" s="150"/>
      <c r="F60" s="58"/>
      <c r="G60" s="59"/>
      <c r="H60" s="60"/>
    </row>
    <row r="61" spans="1:8">
      <c r="A61" s="34"/>
      <c r="B61" s="36"/>
      <c r="C61" s="151"/>
      <c r="D61" s="38"/>
      <c r="E61" s="39"/>
      <c r="F61" s="151"/>
      <c r="G61" s="151"/>
      <c r="H61" s="151"/>
    </row>
  </sheetData>
  <mergeCells count="11">
    <mergeCell ref="B8:F8"/>
    <mergeCell ref="A2:H2"/>
    <mergeCell ref="A3:H3"/>
    <mergeCell ref="A4:H4"/>
    <mergeCell ref="B6:H6"/>
    <mergeCell ref="B7:H7"/>
    <mergeCell ref="A59:H59"/>
    <mergeCell ref="C9:E9"/>
    <mergeCell ref="C10:D10"/>
    <mergeCell ref="B21:D21"/>
    <mergeCell ref="B22:D22"/>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H63"/>
  <sheetViews>
    <sheetView workbookViewId="0">
      <selection activeCell="H45" sqref="H45"/>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2</v>
      </c>
      <c r="B6" s="318" t="s">
        <v>187</v>
      </c>
      <c r="C6" s="318"/>
      <c r="D6" s="318"/>
      <c r="E6" s="318"/>
      <c r="F6" s="318"/>
      <c r="G6" s="318"/>
      <c r="H6" s="319"/>
    </row>
    <row r="7" spans="1:8" ht="64.5" customHeight="1">
      <c r="A7" s="68">
        <v>202</v>
      </c>
      <c r="B7" s="323" t="s">
        <v>73</v>
      </c>
      <c r="C7" s="323"/>
      <c r="D7" s="323"/>
      <c r="E7" s="323"/>
      <c r="F7" s="323"/>
      <c r="G7" s="323"/>
      <c r="H7" s="349"/>
    </row>
    <row r="8" spans="1:8" ht="15.75" customHeight="1">
      <c r="A8" s="69"/>
      <c r="B8" s="322"/>
      <c r="C8" s="323"/>
      <c r="D8" s="323"/>
      <c r="E8" s="323"/>
      <c r="F8" s="323"/>
      <c r="G8" s="70" t="s">
        <v>125</v>
      </c>
      <c r="H8" s="90" t="s">
        <v>206</v>
      </c>
    </row>
    <row r="9" spans="1:8">
      <c r="A9" s="45"/>
      <c r="B9" s="46"/>
      <c r="C9" s="308"/>
      <c r="D9" s="308"/>
      <c r="E9" s="308"/>
      <c r="F9" s="47"/>
      <c r="G9" s="149"/>
      <c r="H9" s="48"/>
    </row>
    <row r="10" spans="1:8" ht="15.75">
      <c r="A10" s="49" t="s">
        <v>113</v>
      </c>
      <c r="B10" s="46"/>
      <c r="C10" s="332"/>
      <c r="D10" s="332"/>
      <c r="E10" s="149"/>
      <c r="F10" s="47"/>
      <c r="G10" s="149"/>
      <c r="H10" s="48"/>
    </row>
    <row r="11" spans="1:8" ht="15.75">
      <c r="A11" s="45"/>
      <c r="B11" s="73" t="s">
        <v>114</v>
      </c>
      <c r="C11" s="73" t="s">
        <v>44</v>
      </c>
      <c r="D11" s="73"/>
      <c r="E11" s="74"/>
      <c r="F11" s="74"/>
      <c r="G11" s="74" t="s">
        <v>9</v>
      </c>
      <c r="H11" s="48"/>
    </row>
    <row r="12" spans="1:8">
      <c r="A12" s="72"/>
      <c r="B12" s="75" t="s">
        <v>196</v>
      </c>
      <c r="C12" s="76"/>
      <c r="D12" s="91"/>
      <c r="E12" s="77"/>
      <c r="F12" s="78"/>
      <c r="G12" s="78">
        <f>H27</f>
        <v>644.28</v>
      </c>
      <c r="H12" s="48"/>
    </row>
    <row r="13" spans="1:8" ht="15.75">
      <c r="A13" s="45"/>
      <c r="B13" s="87" t="s">
        <v>9</v>
      </c>
      <c r="C13" s="88"/>
      <c r="D13" s="88"/>
      <c r="E13" s="88"/>
      <c r="F13" s="88"/>
      <c r="G13" s="89">
        <f>G12</f>
        <v>644.28</v>
      </c>
      <c r="H13" s="48"/>
    </row>
    <row r="14" spans="1:8">
      <c r="A14" s="45"/>
      <c r="B14" s="42"/>
      <c r="C14" s="42"/>
      <c r="D14" s="42"/>
      <c r="E14" s="42"/>
      <c r="F14" s="42"/>
      <c r="G14" s="42"/>
      <c r="H14" s="48"/>
    </row>
    <row r="15" spans="1:8" ht="15.75">
      <c r="A15" s="50"/>
      <c r="B15" s="79" t="s">
        <v>117</v>
      </c>
      <c r="C15" s="80">
        <f>'BM07'!D28</f>
        <v>4300</v>
      </c>
      <c r="D15" s="43"/>
      <c r="E15" s="42"/>
      <c r="F15" s="42"/>
      <c r="G15" s="42"/>
      <c r="H15" s="51"/>
    </row>
    <row r="16" spans="1:8" ht="15.75">
      <c r="A16" s="52"/>
      <c r="B16" s="79" t="s">
        <v>118</v>
      </c>
      <c r="C16" s="80">
        <f>2006.7588+H27</f>
        <v>2651.0388000000003</v>
      </c>
      <c r="D16" s="43"/>
      <c r="E16" s="42"/>
      <c r="F16" s="42"/>
      <c r="G16" s="42"/>
      <c r="H16" s="51"/>
    </row>
    <row r="17" spans="1:8" ht="15.75">
      <c r="A17" s="52"/>
      <c r="B17" s="79" t="s">
        <v>119</v>
      </c>
      <c r="C17" s="80">
        <f>C15-C16</f>
        <v>1648.9611999999997</v>
      </c>
      <c r="D17" s="42"/>
      <c r="E17" s="42"/>
      <c r="F17" s="42"/>
      <c r="G17" s="42"/>
      <c r="H17" s="51"/>
    </row>
    <row r="18" spans="1:8" ht="15.75">
      <c r="A18" s="148"/>
      <c r="B18" s="79" t="s">
        <v>120</v>
      </c>
      <c r="C18" s="80"/>
      <c r="D18" s="42"/>
      <c r="E18" s="42"/>
      <c r="F18" s="42"/>
      <c r="G18" s="42"/>
      <c r="H18" s="51"/>
    </row>
    <row r="19" spans="1:8" ht="15.75">
      <c r="A19" s="148"/>
      <c r="B19" s="79" t="s">
        <v>121</v>
      </c>
      <c r="C19" s="80">
        <f>G13</f>
        <v>644.28</v>
      </c>
      <c r="D19" s="42"/>
      <c r="E19" s="42"/>
      <c r="F19" s="42"/>
      <c r="G19" s="42"/>
      <c r="H19" s="51"/>
    </row>
    <row r="20" spans="1:8" ht="15.75">
      <c r="A20" s="148"/>
      <c r="B20" s="159"/>
      <c r="C20" s="160"/>
      <c r="D20" s="42"/>
      <c r="E20" s="42"/>
      <c r="F20" s="42"/>
      <c r="G20" s="42"/>
      <c r="H20" s="51"/>
    </row>
    <row r="21" spans="1:8">
      <c r="A21" s="148"/>
      <c r="B21" s="358" t="s">
        <v>254</v>
      </c>
      <c r="C21" s="358"/>
      <c r="D21" s="358"/>
      <c r="H21" s="51"/>
    </row>
    <row r="22" spans="1:8">
      <c r="A22" s="148"/>
      <c r="B22" s="358" t="s">
        <v>196</v>
      </c>
      <c r="C22" s="358"/>
      <c r="D22" s="358"/>
      <c r="E22" s="176"/>
      <c r="G22" s="169" t="s">
        <v>222</v>
      </c>
      <c r="H22" s="169" t="s">
        <v>223</v>
      </c>
    </row>
    <row r="23" spans="1:8">
      <c r="A23" s="148"/>
      <c r="B23" s="166" t="s">
        <v>209</v>
      </c>
      <c r="C23" s="167" t="s">
        <v>276</v>
      </c>
      <c r="D23" s="167" t="s">
        <v>277</v>
      </c>
      <c r="E23" s="252" t="s">
        <v>210</v>
      </c>
      <c r="F23" s="189">
        <v>44501</v>
      </c>
      <c r="G23" s="177">
        <v>681.34</v>
      </c>
      <c r="H23" s="177"/>
    </row>
    <row r="24" spans="1:8">
      <c r="A24" s="148"/>
      <c r="B24" s="168" t="s">
        <v>211</v>
      </c>
      <c r="C24" s="170">
        <v>91.417500000000004</v>
      </c>
      <c r="D24" s="168">
        <v>12.31</v>
      </c>
      <c r="E24" s="220" t="s">
        <v>206</v>
      </c>
      <c r="F24" s="189">
        <v>44531</v>
      </c>
      <c r="G24" s="178">
        <v>1067.78</v>
      </c>
      <c r="H24" s="178"/>
    </row>
    <row r="25" spans="1:8">
      <c r="A25" s="148"/>
      <c r="B25" s="168" t="s">
        <v>212</v>
      </c>
      <c r="C25" s="170">
        <v>170.01200000000003</v>
      </c>
      <c r="D25" s="168">
        <v>22.98</v>
      </c>
      <c r="E25" s="220" t="s">
        <v>206</v>
      </c>
      <c r="F25" s="251">
        <v>44562</v>
      </c>
      <c r="G25" s="238">
        <v>1552.7684999999999</v>
      </c>
      <c r="H25" s="238"/>
    </row>
    <row r="26" spans="1:8">
      <c r="A26" s="148"/>
      <c r="B26" s="168" t="s">
        <v>213</v>
      </c>
      <c r="C26" s="170">
        <v>133.50800000000001</v>
      </c>
      <c r="D26" s="168">
        <v>14.22</v>
      </c>
      <c r="E26" s="220" t="s">
        <v>206</v>
      </c>
      <c r="F26" s="251">
        <v>44593</v>
      </c>
      <c r="G26" s="183">
        <v>2006.7573</v>
      </c>
      <c r="H26" s="183"/>
    </row>
    <row r="27" spans="1:8">
      <c r="A27" s="148"/>
      <c r="B27" s="168" t="s">
        <v>214</v>
      </c>
      <c r="C27" s="170">
        <v>538.995</v>
      </c>
      <c r="D27" s="168">
        <v>66.98</v>
      </c>
      <c r="E27" s="220" t="s">
        <v>206</v>
      </c>
      <c r="F27" s="175">
        <v>44621</v>
      </c>
      <c r="G27" s="183">
        <f>C40</f>
        <v>2651.0373</v>
      </c>
      <c r="H27" s="183">
        <f>G27-G26</f>
        <v>644.28</v>
      </c>
    </row>
    <row r="28" spans="1:8">
      <c r="A28" s="148"/>
      <c r="B28" s="168" t="s">
        <v>215</v>
      </c>
      <c r="C28" s="170">
        <v>133.50800000000001</v>
      </c>
      <c r="D28" s="168"/>
      <c r="E28" s="220" t="s">
        <v>206</v>
      </c>
    </row>
    <row r="29" spans="1:8">
      <c r="A29" s="148"/>
      <c r="B29" s="168" t="s">
        <v>216</v>
      </c>
      <c r="C29" s="170">
        <v>170.01200000000003</v>
      </c>
      <c r="D29" s="168"/>
      <c r="E29" s="169" t="s">
        <v>206</v>
      </c>
      <c r="G29" s="179"/>
    </row>
    <row r="30" spans="1:8">
      <c r="A30" s="148"/>
      <c r="B30" s="168" t="s">
        <v>219</v>
      </c>
      <c r="C30" s="170">
        <v>91.417500000000004</v>
      </c>
      <c r="D30" s="168"/>
      <c r="E30" s="169" t="s">
        <v>206</v>
      </c>
      <c r="G30" s="179"/>
    </row>
    <row r="31" spans="1:8" ht="15" customHeight="1">
      <c r="A31" s="148"/>
      <c r="B31" s="168" t="s">
        <v>230</v>
      </c>
      <c r="C31" s="170">
        <v>150.52000000000001</v>
      </c>
      <c r="D31" s="168"/>
      <c r="E31" s="169" t="s">
        <v>206</v>
      </c>
      <c r="G31" s="179"/>
    </row>
    <row r="32" spans="1:8" ht="15" customHeight="1">
      <c r="A32" s="148"/>
      <c r="B32" s="168" t="s">
        <v>231</v>
      </c>
      <c r="C32" s="170">
        <v>73.378500000000003</v>
      </c>
      <c r="D32" s="168"/>
      <c r="E32" s="169" t="s">
        <v>206</v>
      </c>
      <c r="G32" s="179"/>
    </row>
    <row r="33" spans="1:8" ht="15" customHeight="1">
      <c r="A33" s="148"/>
      <c r="B33" s="168" t="s">
        <v>232</v>
      </c>
      <c r="C33" s="170">
        <f>[3]ÁREAS!$L$17</f>
        <v>20.16</v>
      </c>
      <c r="D33" s="168"/>
      <c r="E33" s="169" t="s">
        <v>206</v>
      </c>
      <c r="G33" s="179"/>
    </row>
    <row r="34" spans="1:8" ht="15" customHeight="1">
      <c r="A34" s="148"/>
      <c r="B34" s="168" t="s">
        <v>233</v>
      </c>
      <c r="C34" s="170">
        <f>[3]ÁREAS!$K$18</f>
        <v>292.00880000000001</v>
      </c>
      <c r="D34" s="168"/>
      <c r="E34" s="169" t="s">
        <v>206</v>
      </c>
      <c r="G34" s="179"/>
    </row>
    <row r="35" spans="1:8" ht="15" customHeight="1">
      <c r="A35" s="256"/>
      <c r="B35" s="168" t="s">
        <v>234</v>
      </c>
      <c r="C35" s="170">
        <f>[3]ÁREAS!$K$19</f>
        <v>158.72</v>
      </c>
      <c r="D35" s="168"/>
      <c r="E35" s="169" t="s">
        <v>206</v>
      </c>
      <c r="G35" s="179"/>
    </row>
    <row r="36" spans="1:8" ht="15" customHeight="1">
      <c r="A36" s="256"/>
      <c r="B36" s="168" t="s">
        <v>262</v>
      </c>
      <c r="C36" s="170">
        <f>[3]ÁREAS!$K$20</f>
        <v>77.38</v>
      </c>
      <c r="D36" s="168"/>
      <c r="E36" s="169" t="s">
        <v>206</v>
      </c>
      <c r="G36" s="179"/>
    </row>
    <row r="37" spans="1:8" ht="15" customHeight="1">
      <c r="A37" s="256"/>
      <c r="B37" s="168" t="s">
        <v>263</v>
      </c>
      <c r="C37" s="170">
        <f>[3]ÁREAS!$L$21</f>
        <v>20.16</v>
      </c>
      <c r="D37" s="168"/>
      <c r="E37" s="169" t="s">
        <v>206</v>
      </c>
      <c r="G37" s="179"/>
    </row>
    <row r="38" spans="1:8" ht="15" customHeight="1">
      <c r="A38" s="256"/>
      <c r="B38" s="168" t="s">
        <v>264</v>
      </c>
      <c r="C38" s="170">
        <f>[3]ÁREAS!$K$22</f>
        <v>288.44</v>
      </c>
      <c r="D38" s="168"/>
      <c r="E38" s="169" t="s">
        <v>206</v>
      </c>
      <c r="G38" s="179"/>
    </row>
    <row r="39" spans="1:8" ht="15" customHeight="1">
      <c r="A39" s="256"/>
      <c r="B39" s="168" t="s">
        <v>313</v>
      </c>
      <c r="C39" s="170">
        <f>[3]ÁREAS!$K$32</f>
        <v>124.91</v>
      </c>
      <c r="D39" s="168"/>
      <c r="E39" s="169" t="s">
        <v>206</v>
      </c>
      <c r="G39" s="179"/>
    </row>
    <row r="40" spans="1:8">
      <c r="A40" s="148"/>
      <c r="B40" s="220" t="s">
        <v>9</v>
      </c>
      <c r="C40" s="170">
        <f>SUM(C24:C39)+SUM(D24:D39)</f>
        <v>2651.0373</v>
      </c>
      <c r="D40" s="168"/>
      <c r="E40" s="169" t="s">
        <v>206</v>
      </c>
    </row>
    <row r="41" spans="1:8" ht="15.75">
      <c r="A41" s="148"/>
      <c r="B41" s="159"/>
      <c r="C41" s="160"/>
      <c r="D41" s="42"/>
      <c r="E41" s="42"/>
      <c r="F41" s="42"/>
      <c r="G41" s="42"/>
      <c r="H41" s="51"/>
    </row>
    <row r="42" spans="1:8" ht="15.75">
      <c r="A42" s="148"/>
      <c r="B42" s="159"/>
      <c r="C42" s="160"/>
      <c r="D42" s="42"/>
      <c r="E42" s="42"/>
      <c r="F42" s="42"/>
      <c r="G42" s="42"/>
      <c r="H42" s="51"/>
    </row>
    <row r="43" spans="1:8" ht="15.75">
      <c r="A43" s="198"/>
      <c r="B43" s="159"/>
      <c r="C43" s="160"/>
      <c r="D43" s="42"/>
      <c r="E43" s="42"/>
      <c r="F43" s="42"/>
      <c r="G43" s="42"/>
      <c r="H43" s="51"/>
    </row>
    <row r="44" spans="1:8" ht="15.75">
      <c r="A44" s="198"/>
      <c r="B44" s="159"/>
      <c r="C44" s="160"/>
      <c r="D44" s="42"/>
      <c r="E44" s="42"/>
      <c r="F44" s="42"/>
      <c r="G44" s="42"/>
      <c r="H44" s="51"/>
    </row>
    <row r="45" spans="1:8" ht="15.75">
      <c r="A45" s="198"/>
      <c r="B45" s="159"/>
      <c r="C45" s="160"/>
      <c r="D45" s="42"/>
      <c r="E45" s="42"/>
      <c r="F45" s="42"/>
      <c r="G45" s="42"/>
      <c r="H45" s="51"/>
    </row>
    <row r="46" spans="1:8" ht="15.75">
      <c r="A46" s="198"/>
      <c r="B46" s="159"/>
      <c r="C46" s="160"/>
      <c r="D46" s="42"/>
      <c r="E46" s="42"/>
      <c r="F46" s="42"/>
      <c r="G46" s="42"/>
      <c r="H46" s="51"/>
    </row>
    <row r="47" spans="1:8" ht="15.75">
      <c r="A47" s="148"/>
      <c r="B47" s="159"/>
      <c r="C47" s="160"/>
      <c r="D47" s="42"/>
      <c r="E47" s="42"/>
      <c r="F47" s="42"/>
      <c r="G47" s="42"/>
      <c r="H47" s="51"/>
    </row>
    <row r="48" spans="1:8" ht="15.75">
      <c r="A48" s="148"/>
      <c r="B48" s="159"/>
      <c r="C48" s="160"/>
      <c r="D48" s="42"/>
      <c r="E48" s="42"/>
      <c r="F48" s="42"/>
      <c r="G48" s="42"/>
      <c r="H48" s="51"/>
    </row>
    <row r="49" spans="1:8" ht="15.75">
      <c r="A49" s="148"/>
      <c r="B49" s="159"/>
      <c r="C49" s="160"/>
      <c r="D49" s="42"/>
      <c r="E49" s="42"/>
      <c r="F49" s="42"/>
      <c r="G49" s="42"/>
      <c r="H49" s="51"/>
    </row>
    <row r="50" spans="1:8" ht="15.75">
      <c r="A50" s="45"/>
      <c r="B50" s="124"/>
      <c r="C50" s="124"/>
      <c r="D50" s="124"/>
      <c r="E50" s="42"/>
      <c r="F50" s="42"/>
      <c r="G50" s="35"/>
      <c r="H50" s="54"/>
    </row>
    <row r="51" spans="1:8" ht="15.75">
      <c r="A51" s="45"/>
      <c r="B51" s="124"/>
      <c r="C51" s="124"/>
      <c r="D51" s="124"/>
      <c r="E51" s="42"/>
      <c r="F51" s="42"/>
      <c r="G51" s="35"/>
      <c r="H51" s="54"/>
    </row>
    <row r="52" spans="1:8" ht="15.75">
      <c r="A52" s="45"/>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46"/>
      <c r="C59" s="149"/>
      <c r="D59" s="149"/>
      <c r="E59" s="149"/>
      <c r="F59" s="47"/>
      <c r="G59" s="55"/>
      <c r="H59" s="48"/>
    </row>
    <row r="60" spans="1:8" ht="15.75">
      <c r="A60" s="81" t="s">
        <v>122</v>
      </c>
      <c r="B60" s="82"/>
      <c r="C60" s="83"/>
      <c r="D60" s="84"/>
      <c r="E60" s="85"/>
      <c r="F60" s="83"/>
      <c r="G60" s="83"/>
      <c r="H60" s="86"/>
    </row>
    <row r="61" spans="1:8" ht="15" customHeight="1">
      <c r="A61" s="305" t="s">
        <v>189</v>
      </c>
      <c r="B61" s="306"/>
      <c r="C61" s="306"/>
      <c r="D61" s="306"/>
      <c r="E61" s="306"/>
      <c r="F61" s="306"/>
      <c r="G61" s="306"/>
      <c r="H61" s="307"/>
    </row>
    <row r="62" spans="1:8" ht="15.75">
      <c r="A62" s="56"/>
      <c r="B62" s="40"/>
      <c r="C62" s="150"/>
      <c r="D62" s="150"/>
      <c r="E62" s="150"/>
      <c r="F62" s="58"/>
      <c r="G62" s="59"/>
      <c r="H62" s="60"/>
    </row>
    <row r="63" spans="1:8">
      <c r="A63" s="34"/>
      <c r="B63" s="36"/>
      <c r="C63" s="151"/>
      <c r="D63" s="38"/>
      <c r="E63" s="39"/>
      <c r="F63" s="151"/>
      <c r="G63" s="151"/>
      <c r="H63" s="151"/>
    </row>
  </sheetData>
  <mergeCells count="11">
    <mergeCell ref="C9:E9"/>
    <mergeCell ref="C10:D10"/>
    <mergeCell ref="A61:H61"/>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H52"/>
  <sheetViews>
    <sheetView workbookViewId="0">
      <selection activeCell="M32" sqref="M3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09" t="s">
        <v>316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2</v>
      </c>
      <c r="B6" s="318" t="s">
        <v>187</v>
      </c>
      <c r="C6" s="318"/>
      <c r="D6" s="318"/>
      <c r="E6" s="318"/>
      <c r="F6" s="318"/>
      <c r="G6" s="318"/>
      <c r="H6" s="319"/>
    </row>
    <row r="7" spans="1:8" ht="40.5" customHeight="1">
      <c r="A7" s="68">
        <v>203</v>
      </c>
      <c r="B7" s="318" t="s">
        <v>198</v>
      </c>
      <c r="C7" s="318"/>
      <c r="D7" s="318"/>
      <c r="E7" s="318"/>
      <c r="F7" s="318"/>
      <c r="G7" s="318"/>
      <c r="H7" s="319"/>
    </row>
    <row r="8" spans="1:8" ht="15.75" customHeight="1">
      <c r="A8" s="69"/>
      <c r="B8" s="322"/>
      <c r="C8" s="323"/>
      <c r="D8" s="323"/>
      <c r="E8" s="323"/>
      <c r="F8" s="323"/>
      <c r="G8" s="70" t="s">
        <v>125</v>
      </c>
      <c r="H8" s="90" t="s">
        <v>5</v>
      </c>
    </row>
    <row r="9" spans="1:8">
      <c r="A9" s="45"/>
      <c r="B9" s="46"/>
      <c r="C9" s="308"/>
      <c r="D9" s="308"/>
      <c r="E9" s="308"/>
      <c r="F9" s="47"/>
      <c r="G9" s="153"/>
      <c r="H9" s="48"/>
    </row>
    <row r="10" spans="1:8">
      <c r="B10" s="268" t="s">
        <v>113</v>
      </c>
      <c r="C10" s="332" t="s">
        <v>314</v>
      </c>
      <c r="D10" s="332"/>
      <c r="E10" s="153"/>
      <c r="F10" s="47"/>
      <c r="G10" s="153"/>
      <c r="H10" s="48"/>
    </row>
    <row r="11" spans="1:8" ht="15.75">
      <c r="A11" s="45"/>
      <c r="B11" s="73" t="s">
        <v>114</v>
      </c>
      <c r="C11" s="73" t="s">
        <v>44</v>
      </c>
      <c r="D11" s="73"/>
      <c r="E11" s="74"/>
      <c r="F11" s="74"/>
      <c r="G11" s="74" t="s">
        <v>9</v>
      </c>
      <c r="H11" s="48"/>
    </row>
    <row r="12" spans="1:8">
      <c r="A12" s="72"/>
      <c r="B12" s="75" t="s">
        <v>197</v>
      </c>
      <c r="C12" s="76"/>
      <c r="D12" s="91"/>
      <c r="E12" s="77"/>
      <c r="F12" s="78"/>
      <c r="G12" s="78">
        <f>G25</f>
        <v>88.37</v>
      </c>
      <c r="H12" s="48"/>
    </row>
    <row r="13" spans="1:8" ht="15.75">
      <c r="A13" s="45"/>
      <c r="B13" s="87" t="s">
        <v>9</v>
      </c>
      <c r="C13" s="88"/>
      <c r="D13" s="88"/>
      <c r="E13" s="88"/>
      <c r="F13" s="88"/>
      <c r="G13" s="89">
        <f>G12</f>
        <v>88.37</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574.61+C19</f>
        <v>662.98</v>
      </c>
      <c r="D16" s="42"/>
      <c r="E16" s="42"/>
      <c r="F16" s="42"/>
      <c r="G16" s="42"/>
      <c r="H16" s="51"/>
    </row>
    <row r="17" spans="1:8" ht="15.75">
      <c r="A17" s="52"/>
      <c r="B17" s="79" t="s">
        <v>119</v>
      </c>
      <c r="C17" s="80">
        <f>C15-C16</f>
        <v>287.02</v>
      </c>
      <c r="D17" s="42"/>
      <c r="E17" s="42"/>
      <c r="F17" s="42"/>
      <c r="G17" s="42"/>
      <c r="H17" s="51"/>
    </row>
    <row r="18" spans="1:8" ht="15.75">
      <c r="A18" s="152"/>
      <c r="B18" s="79" t="s">
        <v>120</v>
      </c>
      <c r="C18" s="80"/>
      <c r="D18" s="42"/>
      <c r="E18" s="42"/>
      <c r="F18" s="42"/>
      <c r="G18" s="42"/>
      <c r="H18" s="51"/>
    </row>
    <row r="19" spans="1:8" ht="15.75">
      <c r="A19" s="152"/>
      <c r="B19" s="79" t="s">
        <v>121</v>
      </c>
      <c r="C19" s="80">
        <f>G12</f>
        <v>88.37</v>
      </c>
      <c r="D19" s="42"/>
      <c r="E19" s="42"/>
      <c r="F19" s="42"/>
      <c r="G19" s="42"/>
      <c r="H19" s="51"/>
    </row>
    <row r="20" spans="1:8">
      <c r="A20" s="219"/>
      <c r="B20" s="158"/>
      <c r="C20" s="221"/>
      <c r="D20" s="42"/>
      <c r="E20" s="42"/>
      <c r="F20" s="42"/>
      <c r="G20" s="42"/>
      <c r="H20" s="51"/>
    </row>
    <row r="21" spans="1:8">
      <c r="A21" s="360" t="s">
        <v>279</v>
      </c>
      <c r="B21" s="360"/>
      <c r="C21" s="360"/>
      <c r="D21" s="360"/>
      <c r="E21" s="42"/>
      <c r="F21" s="42" t="s">
        <v>283</v>
      </c>
      <c r="G21" s="42"/>
      <c r="H21" s="51"/>
    </row>
    <row r="22" spans="1:8">
      <c r="A22" s="166" t="s">
        <v>280</v>
      </c>
      <c r="B22" s="361" t="s">
        <v>281</v>
      </c>
      <c r="C22" s="361"/>
      <c r="D22" s="166" t="s">
        <v>282</v>
      </c>
      <c r="E22" s="42"/>
      <c r="F22" t="s">
        <v>160</v>
      </c>
      <c r="G22" s="42">
        <v>258.3</v>
      </c>
      <c r="H22" s="51"/>
    </row>
    <row r="23" spans="1:8">
      <c r="A23" s="240">
        <v>2.25</v>
      </c>
      <c r="B23" s="240">
        <v>2</v>
      </c>
      <c r="C23" s="240">
        <v>14</v>
      </c>
      <c r="D23" s="240">
        <f>A23*B23*C23</f>
        <v>63</v>
      </c>
      <c r="E23" s="42"/>
      <c r="F23" s="267" t="s">
        <v>284</v>
      </c>
      <c r="G23" s="42">
        <v>574.91</v>
      </c>
      <c r="H23" s="51"/>
    </row>
    <row r="24" spans="1:8">
      <c r="A24" s="240">
        <v>4.4000000000000004</v>
      </c>
      <c r="B24" s="240">
        <v>1</v>
      </c>
      <c r="C24" s="240">
        <v>2</v>
      </c>
      <c r="D24" s="240">
        <f t="shared" ref="D24:D29" si="0">A24*B24*C24</f>
        <v>8.8000000000000007</v>
      </c>
      <c r="E24" s="42"/>
      <c r="F24" s="274" t="s">
        <v>321</v>
      </c>
      <c r="G24" s="179">
        <f>D30+D41+D47</f>
        <v>663.28</v>
      </c>
      <c r="H24" s="51"/>
    </row>
    <row r="25" spans="1:8">
      <c r="A25" s="240">
        <v>2.6</v>
      </c>
      <c r="B25" s="240">
        <v>2</v>
      </c>
      <c r="C25" s="240">
        <v>15</v>
      </c>
      <c r="D25" s="240">
        <f t="shared" si="0"/>
        <v>78</v>
      </c>
      <c r="E25" s="42"/>
      <c r="F25" s="273" t="s">
        <v>285</v>
      </c>
      <c r="G25" s="275">
        <f>G24-G23</f>
        <v>88.37</v>
      </c>
      <c r="H25" s="51"/>
    </row>
    <row r="26" spans="1:8">
      <c r="A26" s="240">
        <v>4.8499999999999996</v>
      </c>
      <c r="B26" s="240">
        <v>2</v>
      </c>
      <c r="C26" s="240">
        <v>15</v>
      </c>
      <c r="D26" s="240">
        <f t="shared" si="0"/>
        <v>145.5</v>
      </c>
      <c r="E26" s="42"/>
      <c r="G26" s="42"/>
      <c r="H26" s="51"/>
    </row>
    <row r="27" spans="1:8">
      <c r="A27" s="240">
        <v>6.15</v>
      </c>
      <c r="B27" s="240">
        <v>1</v>
      </c>
      <c r="C27" s="240">
        <v>2</v>
      </c>
      <c r="D27" s="240">
        <f t="shared" si="0"/>
        <v>12.3</v>
      </c>
      <c r="E27" s="42"/>
      <c r="F27" s="42"/>
      <c r="G27" s="42"/>
      <c r="H27" s="51"/>
    </row>
    <row r="28" spans="1:8">
      <c r="A28" s="240">
        <v>3.09</v>
      </c>
      <c r="B28" s="240">
        <v>1</v>
      </c>
      <c r="C28" s="240">
        <v>13</v>
      </c>
      <c r="D28" s="240">
        <f t="shared" si="0"/>
        <v>40.17</v>
      </c>
      <c r="E28" s="42"/>
      <c r="F28" s="42"/>
      <c r="G28" s="42"/>
      <c r="H28" s="51"/>
    </row>
    <row r="29" spans="1:8">
      <c r="A29" s="240">
        <v>1.0900000000000001</v>
      </c>
      <c r="B29" s="240">
        <v>1</v>
      </c>
      <c r="C29" s="240">
        <v>13</v>
      </c>
      <c r="D29" s="240">
        <f t="shared" si="0"/>
        <v>14.170000000000002</v>
      </c>
      <c r="E29" s="42"/>
      <c r="F29" s="42"/>
      <c r="G29" s="42"/>
      <c r="H29" s="51"/>
    </row>
    <row r="30" spans="1:8">
      <c r="A30" s="359" t="s">
        <v>9</v>
      </c>
      <c r="B30" s="359"/>
      <c r="C30" s="359"/>
      <c r="D30" s="253">
        <f>SUM(D23:D29)</f>
        <v>361.94000000000005</v>
      </c>
      <c r="E30" s="42"/>
      <c r="F30" s="42"/>
      <c r="G30" s="42"/>
      <c r="H30" s="51"/>
    </row>
    <row r="31" spans="1:8">
      <c r="E31" s="42"/>
      <c r="F31" s="42"/>
      <c r="G31" s="42"/>
      <c r="H31" s="51"/>
    </row>
    <row r="32" spans="1:8">
      <c r="A32" s="360" t="s">
        <v>243</v>
      </c>
      <c r="B32" s="360"/>
      <c r="C32" s="360"/>
      <c r="D32" s="360"/>
      <c r="E32" s="42"/>
      <c r="F32" s="42"/>
      <c r="G32" s="43"/>
      <c r="H32" s="51"/>
    </row>
    <row r="33" spans="1:8">
      <c r="A33" s="166" t="s">
        <v>280</v>
      </c>
      <c r="B33" s="361" t="s">
        <v>281</v>
      </c>
      <c r="C33" s="361"/>
      <c r="D33" s="166" t="s">
        <v>282</v>
      </c>
      <c r="E33" s="42"/>
      <c r="F33" s="42"/>
      <c r="G33" s="42"/>
      <c r="H33" s="51"/>
    </row>
    <row r="34" spans="1:8">
      <c r="A34" s="240">
        <v>3.1</v>
      </c>
      <c r="B34" s="240">
        <v>1</v>
      </c>
      <c r="C34" s="240">
        <v>1</v>
      </c>
      <c r="D34" s="240">
        <f>A34*B34*C34</f>
        <v>3.1</v>
      </c>
      <c r="E34" s="42"/>
      <c r="F34" s="42"/>
      <c r="G34" s="42"/>
      <c r="H34" s="51"/>
    </row>
    <row r="35" spans="1:8">
      <c r="A35" s="240">
        <v>15.53</v>
      </c>
      <c r="B35" s="240">
        <v>1</v>
      </c>
      <c r="C35" s="240">
        <v>1</v>
      </c>
      <c r="D35" s="240">
        <f t="shared" ref="D35:D40" si="1">A35*B35*C35</f>
        <v>15.53</v>
      </c>
      <c r="E35" s="42"/>
      <c r="F35" s="42"/>
      <c r="G35" s="42"/>
      <c r="H35" s="51"/>
    </row>
    <row r="36" spans="1:8">
      <c r="A36" s="240">
        <v>6.3</v>
      </c>
      <c r="B36" s="240">
        <v>1</v>
      </c>
      <c r="C36" s="240">
        <v>11</v>
      </c>
      <c r="D36" s="240">
        <f t="shared" si="1"/>
        <v>69.3</v>
      </c>
      <c r="E36" s="42"/>
      <c r="F36" s="42"/>
      <c r="G36" s="42"/>
      <c r="H36" s="51"/>
    </row>
    <row r="37" spans="1:8">
      <c r="A37" s="240">
        <v>7.8</v>
      </c>
      <c r="B37" s="240">
        <v>1</v>
      </c>
      <c r="C37" s="240">
        <v>11</v>
      </c>
      <c r="D37" s="240">
        <f t="shared" si="1"/>
        <v>85.8</v>
      </c>
      <c r="E37" s="42"/>
      <c r="F37" s="42"/>
      <c r="G37" s="42"/>
      <c r="H37" s="51"/>
    </row>
    <row r="38" spans="1:8">
      <c r="A38" s="168">
        <v>39.68</v>
      </c>
      <c r="B38" s="240">
        <v>1</v>
      </c>
      <c r="C38" s="240">
        <v>1</v>
      </c>
      <c r="D38" s="240">
        <f t="shared" si="1"/>
        <v>39.68</v>
      </c>
      <c r="E38" s="42"/>
      <c r="F38" s="42"/>
      <c r="G38" s="42"/>
      <c r="H38" s="51"/>
    </row>
    <row r="39" spans="1:8" hidden="1">
      <c r="A39" s="168"/>
      <c r="B39" s="168"/>
      <c r="C39" s="168"/>
      <c r="D39" s="240">
        <f t="shared" si="1"/>
        <v>0</v>
      </c>
      <c r="E39" s="42"/>
      <c r="F39" s="42"/>
      <c r="G39" s="42"/>
      <c r="H39" s="51"/>
    </row>
    <row r="40" spans="1:8" hidden="1">
      <c r="A40" s="168"/>
      <c r="B40" s="168"/>
      <c r="C40" s="168"/>
      <c r="D40" s="240">
        <f t="shared" si="1"/>
        <v>0</v>
      </c>
      <c r="E40" s="42"/>
      <c r="F40" s="42"/>
      <c r="G40" s="42"/>
      <c r="H40" s="51"/>
    </row>
    <row r="41" spans="1:8" ht="15.75">
      <c r="A41" s="359" t="s">
        <v>9</v>
      </c>
      <c r="B41" s="359"/>
      <c r="C41" s="359"/>
      <c r="D41" s="253">
        <f>SUM(D34:D40)</f>
        <v>213.41</v>
      </c>
      <c r="E41" s="42"/>
      <c r="F41" s="42"/>
      <c r="G41" s="35"/>
      <c r="H41" s="54"/>
    </row>
    <row r="42" spans="1:8" ht="15.75">
      <c r="A42" s="360" t="s">
        <v>315</v>
      </c>
      <c r="B42" s="360"/>
      <c r="C42" s="360"/>
      <c r="D42" s="360"/>
      <c r="E42" s="42"/>
      <c r="F42" s="42"/>
      <c r="G42" s="35"/>
      <c r="H42" s="54"/>
    </row>
    <row r="43" spans="1:8" ht="15.75">
      <c r="A43" s="262" t="s">
        <v>280</v>
      </c>
      <c r="B43" s="361" t="s">
        <v>281</v>
      </c>
      <c r="C43" s="361"/>
      <c r="D43" s="262" t="s">
        <v>282</v>
      </c>
      <c r="E43" s="42"/>
      <c r="F43" s="42"/>
      <c r="G43" s="35"/>
      <c r="H43" s="54"/>
    </row>
    <row r="44" spans="1:8" ht="15.75">
      <c r="A44" s="240">
        <v>3.1</v>
      </c>
      <c r="B44" s="240">
        <v>1</v>
      </c>
      <c r="C44" s="240">
        <v>1</v>
      </c>
      <c r="D44" s="240">
        <f>A44*B44*C44</f>
        <v>3.1</v>
      </c>
      <c r="E44" s="42"/>
      <c r="F44" s="42"/>
      <c r="G44" s="35"/>
      <c r="H44" s="54"/>
    </row>
    <row r="45" spans="1:8" ht="15.75">
      <c r="A45" s="240">
        <v>15.53</v>
      </c>
      <c r="B45" s="240">
        <v>1</v>
      </c>
      <c r="C45" s="240">
        <v>1</v>
      </c>
      <c r="D45" s="240">
        <f t="shared" ref="D45:D46" si="2">A45*B45*C45</f>
        <v>15.53</v>
      </c>
      <c r="E45" s="42"/>
      <c r="F45" s="42"/>
      <c r="G45" s="35"/>
      <c r="H45" s="54"/>
    </row>
    <row r="46" spans="1:8" ht="15.75">
      <c r="A46" s="240">
        <v>6.3</v>
      </c>
      <c r="B46" s="240">
        <v>1</v>
      </c>
      <c r="C46" s="240">
        <v>11</v>
      </c>
      <c r="D46" s="240">
        <f t="shared" si="2"/>
        <v>69.3</v>
      </c>
      <c r="E46" s="42"/>
      <c r="F46" s="42"/>
      <c r="G46" s="35"/>
      <c r="H46" s="54"/>
    </row>
    <row r="47" spans="1:8" ht="15.75">
      <c r="A47" s="359" t="s">
        <v>9</v>
      </c>
      <c r="B47" s="359"/>
      <c r="C47" s="359"/>
      <c r="D47" s="253">
        <f>SUM(D44:D46)</f>
        <v>87.929999999999993</v>
      </c>
      <c r="E47" s="42"/>
      <c r="F47" s="42"/>
      <c r="G47" s="35"/>
      <c r="H47" s="54"/>
    </row>
    <row r="48" spans="1:8" ht="15.75">
      <c r="A48" s="45"/>
      <c r="B48" s="46"/>
      <c r="C48" s="153"/>
      <c r="D48" s="153"/>
      <c r="E48" s="153"/>
      <c r="F48" s="47"/>
      <c r="G48" s="55"/>
      <c r="H48" s="48"/>
    </row>
    <row r="49" spans="1:8" ht="15.75">
      <c r="A49" s="81" t="s">
        <v>122</v>
      </c>
      <c r="B49" s="82"/>
      <c r="C49" s="83"/>
      <c r="D49" s="84"/>
      <c r="E49" s="85"/>
      <c r="F49" s="83"/>
      <c r="G49" s="83"/>
      <c r="H49" s="86"/>
    </row>
    <row r="50" spans="1:8" ht="15" customHeight="1">
      <c r="A50" s="305" t="s">
        <v>199</v>
      </c>
      <c r="B50" s="306"/>
      <c r="C50" s="306"/>
      <c r="D50" s="306"/>
      <c r="E50" s="306"/>
      <c r="F50" s="306"/>
      <c r="G50" s="306"/>
      <c r="H50" s="307"/>
    </row>
    <row r="51" spans="1:8" ht="15.75">
      <c r="A51" s="56"/>
      <c r="B51" s="40"/>
      <c r="C51" s="154"/>
      <c r="D51" s="154"/>
      <c r="E51" s="154"/>
      <c r="F51" s="58"/>
      <c r="G51" s="59"/>
      <c r="H51" s="60"/>
    </row>
    <row r="52" spans="1:8">
      <c r="A52" s="34"/>
      <c r="B52" s="36"/>
      <c r="C52" s="155"/>
      <c r="D52" s="38"/>
      <c r="E52" s="39"/>
      <c r="F52" s="155"/>
      <c r="G52" s="155"/>
      <c r="H52" s="155"/>
    </row>
  </sheetData>
  <mergeCells count="18">
    <mergeCell ref="A2:H2"/>
    <mergeCell ref="A3:H3"/>
    <mergeCell ref="A4:H4"/>
    <mergeCell ref="B6:H6"/>
    <mergeCell ref="B7:H7"/>
    <mergeCell ref="A50:H50"/>
    <mergeCell ref="A41:C41"/>
    <mergeCell ref="B8:F8"/>
    <mergeCell ref="C9:E9"/>
    <mergeCell ref="C10:D10"/>
    <mergeCell ref="A21:D21"/>
    <mergeCell ref="B22:C22"/>
    <mergeCell ref="A30:C30"/>
    <mergeCell ref="A32:D32"/>
    <mergeCell ref="B33:C33"/>
    <mergeCell ref="A42:D42"/>
    <mergeCell ref="B43:C43"/>
    <mergeCell ref="A47:C47"/>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3"/>
  <sheetViews>
    <sheetView workbookViewId="0">
      <selection activeCell="F45" sqref="F45"/>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67">
        <v>2</v>
      </c>
      <c r="B5" s="318" t="s">
        <v>187</v>
      </c>
      <c r="C5" s="318"/>
      <c r="D5" s="318"/>
      <c r="E5" s="318"/>
      <c r="F5" s="318"/>
      <c r="G5" s="318"/>
      <c r="H5" s="319"/>
    </row>
    <row r="6" spans="1:8" ht="54" customHeight="1">
      <c r="A6" s="68">
        <v>204</v>
      </c>
      <c r="B6" s="350" t="s">
        <v>74</v>
      </c>
      <c r="C6" s="350"/>
      <c r="D6" s="350"/>
      <c r="E6" s="350"/>
      <c r="F6" s="350"/>
      <c r="G6" s="350"/>
      <c r="H6" s="351"/>
    </row>
    <row r="7" spans="1:8" ht="15.75" customHeight="1">
      <c r="A7" s="69"/>
      <c r="B7" s="322"/>
      <c r="C7" s="323"/>
      <c r="D7" s="323"/>
      <c r="E7" s="323"/>
      <c r="F7" s="323"/>
      <c r="G7" s="70" t="s">
        <v>125</v>
      </c>
      <c r="H7" s="90" t="s">
        <v>206</v>
      </c>
    </row>
    <row r="8" spans="1:8">
      <c r="A8" s="45"/>
      <c r="B8" s="46"/>
      <c r="C8" s="308"/>
      <c r="D8" s="308"/>
      <c r="E8" s="308"/>
      <c r="F8" s="47"/>
      <c r="G8" s="162"/>
      <c r="H8" s="48"/>
    </row>
    <row r="9" spans="1:8" ht="15.75">
      <c r="A9" s="49" t="s">
        <v>113</v>
      </c>
      <c r="B9" s="46"/>
      <c r="C9" s="332"/>
      <c r="D9" s="332"/>
      <c r="E9" s="162"/>
      <c r="F9" s="47"/>
      <c r="G9" s="162"/>
      <c r="H9" s="48"/>
    </row>
    <row r="10" spans="1:8" ht="15.75">
      <c r="A10" s="45"/>
      <c r="B10" s="73" t="s">
        <v>114</v>
      </c>
      <c r="C10" s="73" t="s">
        <v>44</v>
      </c>
      <c r="D10" s="73"/>
      <c r="E10" s="74"/>
      <c r="F10" s="74"/>
      <c r="G10" s="74" t="s">
        <v>9</v>
      </c>
      <c r="H10" s="48"/>
    </row>
    <row r="11" spans="1:8">
      <c r="A11" s="72"/>
      <c r="B11" s="75" t="s">
        <v>208</v>
      </c>
      <c r="C11" s="76"/>
      <c r="D11" s="91"/>
      <c r="E11" s="77"/>
      <c r="F11" s="78"/>
      <c r="G11" s="78">
        <f>G25</f>
        <v>548.26879999999983</v>
      </c>
      <c r="H11" s="48"/>
    </row>
    <row r="12" spans="1:8" ht="15.75">
      <c r="A12" s="45"/>
      <c r="B12" s="87" t="s">
        <v>9</v>
      </c>
      <c r="C12" s="88"/>
      <c r="D12" s="88"/>
      <c r="E12" s="88"/>
      <c r="F12" s="88"/>
      <c r="G12" s="89">
        <f>G11</f>
        <v>548.26879999999983</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f>1669.2585+C18</f>
        <v>2217.5272999999997</v>
      </c>
      <c r="D15" s="42"/>
      <c r="E15" s="42"/>
      <c r="F15" s="42"/>
      <c r="G15" s="42"/>
      <c r="H15" s="51"/>
    </row>
    <row r="16" spans="1:8" ht="15.75">
      <c r="A16" s="52"/>
      <c r="B16" s="79" t="s">
        <v>119</v>
      </c>
      <c r="C16" s="80">
        <f>C14-C15</f>
        <v>1932.4727000000003</v>
      </c>
      <c r="D16" s="42"/>
      <c r="E16" s="42"/>
      <c r="F16" s="42"/>
      <c r="G16" s="42"/>
      <c r="H16" s="51"/>
    </row>
    <row r="17" spans="1:8" ht="15.75">
      <c r="A17" s="161"/>
      <c r="B17" s="79" t="s">
        <v>120</v>
      </c>
      <c r="C17" s="80"/>
      <c r="D17" s="42"/>
      <c r="E17" s="42"/>
      <c r="F17" s="42"/>
      <c r="G17" s="42"/>
      <c r="H17" s="51"/>
    </row>
    <row r="18" spans="1:8" ht="15.75">
      <c r="A18" s="161"/>
      <c r="B18" s="79" t="s">
        <v>121</v>
      </c>
      <c r="C18" s="80">
        <f>G11</f>
        <v>548.26879999999983</v>
      </c>
      <c r="D18" s="42"/>
      <c r="E18" s="42"/>
      <c r="F18" s="42"/>
      <c r="G18" s="42"/>
      <c r="H18" s="51"/>
    </row>
    <row r="19" spans="1:8">
      <c r="A19" s="358" t="s">
        <v>286</v>
      </c>
      <c r="B19" s="358"/>
      <c r="C19" s="358"/>
      <c r="H19" s="51"/>
    </row>
    <row r="20" spans="1:8">
      <c r="A20" s="358" t="s">
        <v>224</v>
      </c>
      <c r="B20" s="358"/>
      <c r="C20" s="358"/>
      <c r="D20" s="169"/>
      <c r="F20" s="270" t="s">
        <v>222</v>
      </c>
      <c r="G20" s="169" t="s">
        <v>223</v>
      </c>
      <c r="H20" s="51"/>
    </row>
    <row r="21" spans="1:8">
      <c r="A21" s="166" t="s">
        <v>209</v>
      </c>
      <c r="B21" s="167" t="s">
        <v>276</v>
      </c>
      <c r="C21" s="167" t="s">
        <v>277</v>
      </c>
      <c r="D21" s="166" t="s">
        <v>210</v>
      </c>
      <c r="E21" s="189">
        <v>44501</v>
      </c>
      <c r="F21" s="169">
        <v>534.9</v>
      </c>
      <c r="G21" s="169"/>
      <c r="H21" s="51"/>
    </row>
    <row r="22" spans="1:8">
      <c r="A22" s="168" t="s">
        <v>211</v>
      </c>
      <c r="B22" s="180">
        <f>[2]Pastilhas!$C$15</f>
        <v>91.417500000000004</v>
      </c>
      <c r="C22" s="170">
        <f>[2]Pastilhas!$D$15</f>
        <v>12.31</v>
      </c>
      <c r="D22" s="224" t="s">
        <v>206</v>
      </c>
      <c r="E22" s="189">
        <v>44531</v>
      </c>
      <c r="F22" s="180">
        <v>903.65</v>
      </c>
      <c r="G22" s="180"/>
      <c r="H22" s="51"/>
    </row>
    <row r="23" spans="1:8">
      <c r="A23" s="168" t="s">
        <v>212</v>
      </c>
      <c r="B23" s="180">
        <f>[2]Pastilhas!$C$16</f>
        <v>170.01200000000003</v>
      </c>
      <c r="C23" s="170">
        <f>[2]Pastilhas!$D$16</f>
        <v>22.98</v>
      </c>
      <c r="D23" s="224" t="s">
        <v>206</v>
      </c>
      <c r="E23" s="251">
        <v>44562</v>
      </c>
      <c r="F23" s="238">
        <v>1328.87</v>
      </c>
      <c r="G23" s="238"/>
      <c r="H23" s="51"/>
    </row>
    <row r="24" spans="1:8">
      <c r="A24" s="168" t="s">
        <v>213</v>
      </c>
      <c r="B24" s="180">
        <f>[2]Pastilhas!$C$17</f>
        <v>133.50800000000001</v>
      </c>
      <c r="C24" s="170">
        <f>[2]Pastilhas!$D$17</f>
        <v>14.22</v>
      </c>
      <c r="D24" s="224" t="s">
        <v>206</v>
      </c>
      <c r="E24" s="254">
        <v>44593</v>
      </c>
      <c r="F24" s="183">
        <v>1669.2584999999999</v>
      </c>
      <c r="G24" s="183"/>
      <c r="H24" s="51"/>
    </row>
    <row r="25" spans="1:8">
      <c r="A25" s="168" t="s">
        <v>214</v>
      </c>
      <c r="B25" s="180">
        <f>[2]Pastilhas!$C$18</f>
        <v>538.995</v>
      </c>
      <c r="C25" s="170">
        <f>[2]Pastilhas!$D$18</f>
        <v>66.98</v>
      </c>
      <c r="D25" s="224" t="s">
        <v>206</v>
      </c>
      <c r="E25" s="254">
        <v>44621</v>
      </c>
      <c r="F25" s="183">
        <f>B35</f>
        <v>2217.5272999999997</v>
      </c>
      <c r="G25" s="183">
        <f>F25-F24</f>
        <v>548.26879999999983</v>
      </c>
      <c r="H25" s="51"/>
    </row>
    <row r="26" spans="1:8">
      <c r="A26" s="168" t="s">
        <v>215</v>
      </c>
      <c r="B26" s="180">
        <f>[2]Pastilhas!$C$19</f>
        <v>133.50800000000001</v>
      </c>
      <c r="C26" s="170"/>
      <c r="D26" s="224" t="s">
        <v>206</v>
      </c>
      <c r="H26" s="51"/>
    </row>
    <row r="27" spans="1:8" ht="15" customHeight="1">
      <c r="A27" s="168" t="s">
        <v>216</v>
      </c>
      <c r="B27" s="180">
        <f>[2]Pastilhas!$C$20</f>
        <v>170.01200000000003</v>
      </c>
      <c r="C27" s="170"/>
      <c r="D27" s="169" t="s">
        <v>206</v>
      </c>
      <c r="F27" s="179"/>
      <c r="H27" s="51"/>
    </row>
    <row r="28" spans="1:8" ht="15" customHeight="1">
      <c r="A28" s="168" t="s">
        <v>219</v>
      </c>
      <c r="B28" s="180">
        <f>[2]Pastilhas!$C$21</f>
        <v>91.417500000000004</v>
      </c>
      <c r="C28" s="170"/>
      <c r="D28" s="169" t="s">
        <v>206</v>
      </c>
      <c r="F28" s="179"/>
      <c r="H28" s="51"/>
    </row>
    <row r="29" spans="1:8" ht="15" customHeight="1">
      <c r="A29" s="168" t="s">
        <v>230</v>
      </c>
      <c r="B29" s="180">
        <f>[2]Pastilhas!$C$22</f>
        <v>150.52000000000001</v>
      </c>
      <c r="C29" s="170"/>
      <c r="D29" s="169" t="s">
        <v>206</v>
      </c>
      <c r="F29" s="179"/>
      <c r="H29" s="51"/>
    </row>
    <row r="30" spans="1:8">
      <c r="A30" s="168" t="s">
        <v>231</v>
      </c>
      <c r="B30" s="180">
        <f>[2]Pastilhas!$C$23</f>
        <v>73.378500000000003</v>
      </c>
      <c r="C30" s="170"/>
      <c r="D30" s="169" t="s">
        <v>206</v>
      </c>
      <c r="F30" s="179"/>
      <c r="H30" s="51"/>
    </row>
    <row r="31" spans="1:8">
      <c r="A31" s="168" t="s">
        <v>232</v>
      </c>
      <c r="B31" s="180">
        <f>[3]ÁREAS!$L$17</f>
        <v>20.16</v>
      </c>
      <c r="C31" s="170"/>
      <c r="D31" s="169" t="s">
        <v>206</v>
      </c>
      <c r="F31" s="179"/>
      <c r="H31" s="51"/>
    </row>
    <row r="32" spans="1:8">
      <c r="A32" s="168" t="s">
        <v>233</v>
      </c>
      <c r="B32" s="180">
        <f>[3]ÁREAS!$K$18</f>
        <v>292.00880000000001</v>
      </c>
      <c r="C32" s="170"/>
      <c r="D32" s="169" t="s">
        <v>206</v>
      </c>
      <c r="F32" s="179"/>
      <c r="H32" s="51"/>
    </row>
    <row r="33" spans="1:8">
      <c r="A33" s="168" t="s">
        <v>234</v>
      </c>
      <c r="B33" s="180">
        <f>[3]ÁREAS!$K$19</f>
        <v>158.72</v>
      </c>
      <c r="C33" s="170"/>
      <c r="D33" s="169" t="s">
        <v>206</v>
      </c>
      <c r="F33" s="179"/>
      <c r="H33" s="51"/>
    </row>
    <row r="34" spans="1:8">
      <c r="A34" s="168" t="s">
        <v>262</v>
      </c>
      <c r="B34" s="180">
        <f>[3]ÁREAS!$K$20</f>
        <v>77.38</v>
      </c>
      <c r="C34" s="170"/>
      <c r="D34" s="169" t="s">
        <v>206</v>
      </c>
      <c r="F34" s="179"/>
      <c r="H34" s="51"/>
    </row>
    <row r="35" spans="1:8">
      <c r="A35" s="245" t="s">
        <v>9</v>
      </c>
      <c r="B35" s="246">
        <f>SUM(B22:B34)+SUM(C22:C34)</f>
        <v>2217.5272999999997</v>
      </c>
      <c r="C35" s="246"/>
      <c r="D35" s="244" t="s">
        <v>206</v>
      </c>
      <c r="H35" s="51"/>
    </row>
    <row r="36" spans="1:8" ht="15.75">
      <c r="A36" s="198"/>
      <c r="B36" s="159"/>
      <c r="C36" s="160"/>
      <c r="D36" s="42"/>
      <c r="E36" s="42"/>
      <c r="F36" s="42"/>
      <c r="G36" s="42"/>
      <c r="H36" s="51"/>
    </row>
    <row r="37" spans="1:8" ht="15.75">
      <c r="A37" s="198"/>
      <c r="B37" s="159"/>
      <c r="C37" s="160"/>
      <c r="D37" s="42"/>
      <c r="E37" s="42"/>
      <c r="F37" s="42"/>
      <c r="G37" s="42"/>
      <c r="H37" s="51"/>
    </row>
    <row r="38" spans="1:8" ht="15.75">
      <c r="A38" s="198"/>
      <c r="B38" s="159"/>
      <c r="C38" s="160"/>
      <c r="D38" s="42"/>
      <c r="E38" s="42"/>
      <c r="F38" s="42"/>
      <c r="G38" s="42"/>
      <c r="H38" s="51"/>
    </row>
    <row r="39" spans="1:8" ht="15.75">
      <c r="A39" s="198"/>
      <c r="B39" s="159"/>
      <c r="C39" s="160"/>
      <c r="D39" s="42"/>
      <c r="E39" s="42"/>
      <c r="F39" s="42"/>
      <c r="G39" s="42"/>
      <c r="H39" s="51"/>
    </row>
    <row r="40" spans="1:8" ht="15.75">
      <c r="A40" s="198"/>
      <c r="B40" s="159"/>
      <c r="C40" s="160"/>
      <c r="D40" s="42"/>
      <c r="E40" s="42"/>
      <c r="F40" s="42"/>
      <c r="G40" s="42"/>
      <c r="H40" s="51"/>
    </row>
    <row r="41" spans="1:8" ht="15.75">
      <c r="A41" s="198"/>
      <c r="B41" s="159"/>
      <c r="C41" s="160"/>
      <c r="D41" s="42"/>
      <c r="E41" s="42"/>
      <c r="F41" s="42"/>
      <c r="G41" s="42"/>
      <c r="H41" s="51"/>
    </row>
    <row r="42" spans="1:8" ht="15.75">
      <c r="A42" s="161"/>
      <c r="B42" s="159"/>
      <c r="C42" s="160"/>
      <c r="D42" s="42"/>
      <c r="E42" s="42"/>
      <c r="F42" s="42"/>
      <c r="G42" s="42"/>
      <c r="H42" s="51"/>
    </row>
    <row r="43" spans="1:8" ht="15.75">
      <c r="A43" s="45"/>
      <c r="B43" s="124"/>
      <c r="C43" s="124"/>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46"/>
      <c r="C49" s="162"/>
      <c r="D49" s="162"/>
      <c r="E49" s="162"/>
      <c r="F49" s="47"/>
      <c r="G49" s="55"/>
      <c r="H49" s="48"/>
    </row>
    <row r="50" spans="1:8" ht="15.75">
      <c r="A50" s="81" t="s">
        <v>122</v>
      </c>
      <c r="B50" s="82"/>
      <c r="C50" s="83"/>
      <c r="D50" s="84"/>
      <c r="E50" s="85"/>
      <c r="F50" s="83"/>
      <c r="G50" s="83"/>
      <c r="H50" s="86"/>
    </row>
    <row r="51" spans="1:8" ht="15" customHeight="1">
      <c r="A51" s="305" t="s">
        <v>199</v>
      </c>
      <c r="B51" s="306"/>
      <c r="C51" s="306"/>
      <c r="D51" s="306"/>
      <c r="E51" s="306"/>
      <c r="F51" s="306"/>
      <c r="G51" s="306"/>
      <c r="H51" s="307"/>
    </row>
    <row r="52" spans="1:8" ht="15.75">
      <c r="A52" s="56"/>
      <c r="B52" s="40"/>
      <c r="C52" s="163"/>
      <c r="D52" s="163"/>
      <c r="E52" s="163"/>
      <c r="F52" s="58"/>
      <c r="G52" s="59"/>
      <c r="H52" s="60"/>
    </row>
    <row r="53" spans="1:8">
      <c r="A53" s="34"/>
      <c r="B53" s="36"/>
      <c r="C53" s="164"/>
      <c r="D53" s="38"/>
      <c r="E53" s="39"/>
      <c r="F53" s="164"/>
      <c r="G53" s="164"/>
      <c r="H53" s="164"/>
    </row>
  </sheetData>
  <mergeCells count="11">
    <mergeCell ref="C8:E8"/>
    <mergeCell ref="C9:D9"/>
    <mergeCell ref="A51:H51"/>
    <mergeCell ref="A2:H2"/>
    <mergeCell ref="A3:H3"/>
    <mergeCell ref="A4:H4"/>
    <mergeCell ref="B5:H5"/>
    <mergeCell ref="B6:H6"/>
    <mergeCell ref="B7:F7"/>
    <mergeCell ref="A19:C19"/>
    <mergeCell ref="A20:C20"/>
  </mergeCells>
  <phoneticPr fontId="54" type="noConversion"/>
  <pageMargins left="0.51181102362204722" right="0.51181102362204722" top="0.78740157480314965" bottom="0.78740157480314965" header="0.31496062992125984" footer="0.31496062992125984"/>
  <pageSetup paperSize="9" scale="87"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J55"/>
  <sheetViews>
    <sheetView workbookViewId="0">
      <selection activeCell="H46" sqref="H46"/>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2</v>
      </c>
      <c r="B6" s="318" t="s">
        <v>187</v>
      </c>
      <c r="C6" s="318"/>
      <c r="D6" s="318"/>
      <c r="E6" s="318"/>
      <c r="F6" s="318"/>
      <c r="G6" s="318"/>
      <c r="H6" s="319"/>
    </row>
    <row r="7" spans="1:8" ht="64.5" customHeight="1">
      <c r="A7" s="68">
        <v>205</v>
      </c>
      <c r="B7" s="350" t="s">
        <v>75</v>
      </c>
      <c r="C7" s="350"/>
      <c r="D7" s="350"/>
      <c r="E7" s="350"/>
      <c r="F7" s="350"/>
      <c r="G7" s="350"/>
      <c r="H7" s="351"/>
    </row>
    <row r="8" spans="1:8" ht="15.75" customHeight="1">
      <c r="A8" s="69"/>
      <c r="B8" s="322"/>
      <c r="C8" s="323"/>
      <c r="D8" s="323"/>
      <c r="E8" s="323"/>
      <c r="F8" s="323"/>
      <c r="G8" s="70" t="s">
        <v>125</v>
      </c>
      <c r="H8" s="90" t="s">
        <v>206</v>
      </c>
    </row>
    <row r="9" spans="1:8">
      <c r="A9" s="45"/>
      <c r="B9" s="46"/>
      <c r="C9" s="308"/>
      <c r="D9" s="308"/>
      <c r="E9" s="308"/>
      <c r="F9" s="47"/>
      <c r="G9" s="162"/>
      <c r="H9" s="48"/>
    </row>
    <row r="10" spans="1:8" ht="15.75">
      <c r="A10" s="49" t="s">
        <v>113</v>
      </c>
      <c r="B10" s="46"/>
      <c r="C10" s="332"/>
      <c r="D10" s="332"/>
      <c r="E10" s="162"/>
      <c r="F10" s="47"/>
      <c r="G10" s="162"/>
      <c r="H10" s="48"/>
    </row>
    <row r="11" spans="1:8" ht="15.75">
      <c r="A11" s="45"/>
      <c r="B11" s="73" t="s">
        <v>114</v>
      </c>
      <c r="C11" s="73" t="s">
        <v>44</v>
      </c>
      <c r="D11" s="73"/>
      <c r="E11" s="74"/>
      <c r="F11" s="74"/>
      <c r="G11" s="74" t="s">
        <v>9</v>
      </c>
      <c r="H11" s="48"/>
    </row>
    <row r="12" spans="1:8">
      <c r="A12" s="72"/>
      <c r="B12" s="75" t="s">
        <v>207</v>
      </c>
      <c r="C12" s="76"/>
      <c r="D12" s="91"/>
      <c r="E12" s="77"/>
      <c r="F12" s="78"/>
      <c r="G12" s="78">
        <f>H27</f>
        <v>662.87730000000033</v>
      </c>
      <c r="H12" s="48"/>
    </row>
    <row r="13" spans="1:8" ht="15.75">
      <c r="A13" s="45"/>
      <c r="B13" s="87" t="s">
        <v>9</v>
      </c>
      <c r="C13" s="88"/>
      <c r="D13" s="88"/>
      <c r="E13" s="88"/>
      <c r="F13" s="88"/>
      <c r="G13" s="89">
        <f>G12</f>
        <v>662.87730000000033</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f>1328.87+C19</f>
        <v>1991.7473000000002</v>
      </c>
      <c r="D16" s="42"/>
      <c r="E16" s="42"/>
      <c r="F16" s="42"/>
      <c r="G16" s="42"/>
      <c r="H16" s="51"/>
    </row>
    <row r="17" spans="1:10" ht="15.75">
      <c r="A17" s="52"/>
      <c r="B17" s="79" t="s">
        <v>119</v>
      </c>
      <c r="C17" s="80">
        <f>C15-C16</f>
        <v>2158.2527</v>
      </c>
      <c r="D17" s="42"/>
      <c r="E17" s="42"/>
      <c r="F17" s="42"/>
      <c r="G17" s="42"/>
      <c r="H17" s="51"/>
    </row>
    <row r="18" spans="1:10" ht="15.75">
      <c r="A18" s="161"/>
      <c r="B18" s="79" t="s">
        <v>120</v>
      </c>
      <c r="C18" s="80"/>
      <c r="D18" s="42"/>
      <c r="E18" s="42"/>
      <c r="F18" s="42"/>
      <c r="G18" s="42"/>
      <c r="H18" s="51"/>
    </row>
    <row r="19" spans="1:10" ht="15.75">
      <c r="A19" s="161"/>
      <c r="B19" s="79" t="s">
        <v>121</v>
      </c>
      <c r="C19" s="80">
        <f>G12</f>
        <v>662.87730000000033</v>
      </c>
      <c r="D19" s="42"/>
      <c r="E19" s="42"/>
      <c r="F19" s="42"/>
      <c r="G19" s="42"/>
      <c r="H19" s="51"/>
    </row>
    <row r="20" spans="1:10" ht="15.75">
      <c r="A20" s="161"/>
      <c r="B20" s="159"/>
      <c r="C20" s="160"/>
      <c r="D20" s="42"/>
      <c r="E20" s="42"/>
      <c r="F20" s="42"/>
      <c r="G20" s="42"/>
      <c r="H20" s="51"/>
    </row>
    <row r="21" spans="1:10">
      <c r="A21" s="161"/>
      <c r="B21" s="358" t="s">
        <v>287</v>
      </c>
      <c r="C21" s="358"/>
      <c r="D21" s="358"/>
      <c r="H21" s="51"/>
    </row>
    <row r="22" spans="1:10">
      <c r="A22" s="161"/>
      <c r="B22" s="358" t="s">
        <v>225</v>
      </c>
      <c r="C22" s="358"/>
      <c r="D22" s="358"/>
      <c r="E22" s="169"/>
      <c r="F22" s="169" t="s">
        <v>222</v>
      </c>
      <c r="G22" s="169" t="s">
        <v>223</v>
      </c>
      <c r="H22" s="51"/>
    </row>
    <row r="23" spans="1:10">
      <c r="A23" s="161"/>
      <c r="B23" s="166" t="s">
        <v>209</v>
      </c>
      <c r="C23" s="167" t="s">
        <v>183</v>
      </c>
      <c r="D23" s="166" t="s">
        <v>210</v>
      </c>
      <c r="E23" s="189">
        <v>44501</v>
      </c>
      <c r="F23" s="169">
        <v>376</v>
      </c>
      <c r="G23" s="169"/>
      <c r="H23" s="51"/>
    </row>
    <row r="24" spans="1:10">
      <c r="A24" s="161"/>
      <c r="B24" s="168" t="s">
        <v>211</v>
      </c>
      <c r="C24" s="170">
        <v>91.417500000000004</v>
      </c>
      <c r="D24" s="170">
        <f>[3]ÁREAS!$M$4</f>
        <v>13.23</v>
      </c>
      <c r="E24" s="224" t="s">
        <v>206</v>
      </c>
      <c r="F24" s="189">
        <v>44531</v>
      </c>
      <c r="G24" s="180">
        <v>744.45</v>
      </c>
      <c r="H24" s="180"/>
    </row>
    <row r="25" spans="1:10">
      <c r="A25" s="161"/>
      <c r="B25" s="168" t="s">
        <v>212</v>
      </c>
      <c r="C25" s="170">
        <v>170.01200000000003</v>
      </c>
      <c r="D25" s="170">
        <f>[3]ÁREAS!$M$5</f>
        <v>24.78</v>
      </c>
      <c r="E25" s="224" t="s">
        <v>206</v>
      </c>
      <c r="F25" s="251">
        <v>44562</v>
      </c>
      <c r="G25" s="238">
        <v>933.9325</v>
      </c>
      <c r="H25" s="238"/>
    </row>
    <row r="26" spans="1:10">
      <c r="A26" s="161"/>
      <c r="B26" s="168" t="s">
        <v>213</v>
      </c>
      <c r="C26" s="170">
        <v>133.50800000000001</v>
      </c>
      <c r="D26" s="170">
        <v>15.29</v>
      </c>
      <c r="E26" s="224" t="s">
        <v>206</v>
      </c>
      <c r="F26" s="251">
        <v>44593</v>
      </c>
      <c r="G26" s="183">
        <v>1328.87</v>
      </c>
      <c r="H26" s="183"/>
    </row>
    <row r="27" spans="1:10">
      <c r="A27" s="161"/>
      <c r="B27" s="168" t="s">
        <v>214</v>
      </c>
      <c r="C27" s="170">
        <v>538.995</v>
      </c>
      <c r="D27" s="170">
        <v>73.510000000000005</v>
      </c>
      <c r="E27" s="224" t="s">
        <v>206</v>
      </c>
      <c r="F27" s="251">
        <v>44621</v>
      </c>
      <c r="G27" s="183">
        <f>C35</f>
        <v>1991.7473000000002</v>
      </c>
      <c r="H27" s="183">
        <f>G27-G26</f>
        <v>662.87730000000033</v>
      </c>
      <c r="J27" s="269"/>
    </row>
    <row r="28" spans="1:10">
      <c r="A28" s="161"/>
      <c r="B28" s="168" t="s">
        <v>215</v>
      </c>
      <c r="C28" s="170">
        <v>133.50800000000001</v>
      </c>
      <c r="D28" s="170"/>
      <c r="E28" s="169" t="s">
        <v>206</v>
      </c>
    </row>
    <row r="29" spans="1:10">
      <c r="A29" s="198"/>
      <c r="B29" s="168" t="s">
        <v>216</v>
      </c>
      <c r="C29" s="170">
        <v>170.01200000000003</v>
      </c>
      <c r="D29" s="170"/>
      <c r="E29" s="169" t="s">
        <v>206</v>
      </c>
      <c r="G29" s="179"/>
    </row>
    <row r="30" spans="1:10">
      <c r="A30" s="198"/>
      <c r="B30" s="168" t="s">
        <v>219</v>
      </c>
      <c r="C30" s="170">
        <v>91.417500000000004</v>
      </c>
      <c r="D30" s="170"/>
      <c r="E30" s="169" t="s">
        <v>206</v>
      </c>
      <c r="G30" s="179"/>
    </row>
    <row r="31" spans="1:10">
      <c r="A31" s="256"/>
      <c r="B31" s="168" t="s">
        <v>230</v>
      </c>
      <c r="C31" s="170">
        <f>[3]ÁREAS!$K$15</f>
        <v>150.52000000000001</v>
      </c>
      <c r="D31" s="170"/>
      <c r="E31" s="169" t="s">
        <v>206</v>
      </c>
      <c r="G31" s="179"/>
    </row>
    <row r="32" spans="1:10">
      <c r="A32" s="256"/>
      <c r="B32" s="168" t="s">
        <v>231</v>
      </c>
      <c r="C32" s="170">
        <f>[3]ÁREAS!$K$16</f>
        <v>73.378500000000003</v>
      </c>
      <c r="D32" s="170"/>
      <c r="E32" s="169" t="s">
        <v>206</v>
      </c>
      <c r="G32" s="179"/>
    </row>
    <row r="33" spans="1:8">
      <c r="A33" s="256"/>
      <c r="B33" s="168" t="s">
        <v>232</v>
      </c>
      <c r="C33" s="170">
        <f>[3]ÁREAS!$L$17</f>
        <v>20.16</v>
      </c>
      <c r="D33" s="170"/>
      <c r="E33" s="169" t="s">
        <v>206</v>
      </c>
      <c r="G33" s="179"/>
    </row>
    <row r="34" spans="1:8">
      <c r="A34" s="256"/>
      <c r="B34" s="168" t="s">
        <v>233</v>
      </c>
      <c r="C34" s="170">
        <f>[3]ÁREAS!$K$18</f>
        <v>292.00880000000001</v>
      </c>
      <c r="D34" s="170"/>
      <c r="E34" s="169" t="s">
        <v>206</v>
      </c>
      <c r="G34" s="179"/>
    </row>
    <row r="35" spans="1:8">
      <c r="A35" s="198"/>
      <c r="B35" s="255" t="s">
        <v>9</v>
      </c>
      <c r="C35" s="248">
        <f>SUM(C24:D34)</f>
        <v>1991.7473000000002</v>
      </c>
      <c r="D35" s="248"/>
      <c r="E35" s="250" t="s">
        <v>206</v>
      </c>
      <c r="G35" s="179"/>
    </row>
    <row r="36" spans="1:8">
      <c r="A36" s="198"/>
      <c r="B36" s="141"/>
      <c r="C36" s="209"/>
      <c r="D36" s="210"/>
      <c r="E36" s="141"/>
      <c r="F36" s="179"/>
      <c r="H36" s="51"/>
    </row>
    <row r="37" spans="1:8">
      <c r="A37" s="198"/>
      <c r="B37" s="141"/>
      <c r="C37" s="209"/>
      <c r="D37" s="210"/>
      <c r="E37" s="141"/>
      <c r="F37" s="179"/>
      <c r="H37" s="51"/>
    </row>
    <row r="38" spans="1:8">
      <c r="A38" s="198"/>
      <c r="B38" s="141"/>
      <c r="C38" s="209"/>
      <c r="D38" s="210"/>
      <c r="E38" s="141"/>
      <c r="F38" s="179"/>
      <c r="H38" s="51"/>
    </row>
    <row r="39" spans="1:8">
      <c r="A39" s="198"/>
      <c r="B39" s="141"/>
      <c r="C39" s="209"/>
      <c r="D39" s="210"/>
      <c r="E39" s="141"/>
      <c r="F39" s="179"/>
      <c r="H39" s="51"/>
    </row>
    <row r="40" spans="1:8">
      <c r="A40" s="198"/>
      <c r="B40" s="211"/>
      <c r="C40" s="209"/>
      <c r="D40" s="210"/>
      <c r="E40" s="141"/>
      <c r="H40" s="51"/>
    </row>
    <row r="41" spans="1:8" ht="15.75">
      <c r="A41" s="161"/>
      <c r="B41" s="159"/>
      <c r="C41" s="160"/>
      <c r="D41" s="42"/>
      <c r="E41" s="42"/>
      <c r="F41" s="42"/>
      <c r="G41" s="42"/>
      <c r="H41" s="51"/>
    </row>
    <row r="42" spans="1:8" ht="15.75">
      <c r="A42" s="45"/>
      <c r="B42" s="124"/>
      <c r="C42" s="124"/>
      <c r="D42" s="124"/>
      <c r="E42" s="42"/>
      <c r="F42" s="42"/>
      <c r="G42" s="35"/>
      <c r="H42" s="54"/>
    </row>
    <row r="43" spans="1:8" ht="15.75">
      <c r="A43" s="45"/>
      <c r="B43" s="124"/>
      <c r="C43" s="124"/>
      <c r="D43" s="124"/>
      <c r="E43" s="42"/>
      <c r="F43" s="42"/>
      <c r="G43" s="35"/>
      <c r="H43" s="54"/>
    </row>
    <row r="44" spans="1:8" ht="15.75">
      <c r="A44" s="45"/>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46"/>
      <c r="C51" s="162"/>
      <c r="D51" s="162"/>
      <c r="E51" s="162"/>
      <c r="F51" s="47"/>
      <c r="G51" s="55"/>
      <c r="H51" s="48"/>
    </row>
    <row r="52" spans="1:8" ht="15.75">
      <c r="A52" s="81" t="s">
        <v>122</v>
      </c>
      <c r="B52" s="82"/>
      <c r="C52" s="83"/>
      <c r="D52" s="84"/>
      <c r="E52" s="85"/>
      <c r="F52" s="83"/>
      <c r="G52" s="83"/>
      <c r="H52" s="86"/>
    </row>
    <row r="53" spans="1:8" ht="15" customHeight="1">
      <c r="A53" s="305" t="s">
        <v>199</v>
      </c>
      <c r="B53" s="306"/>
      <c r="C53" s="306"/>
      <c r="D53" s="306"/>
      <c r="E53" s="306"/>
      <c r="F53" s="306"/>
      <c r="G53" s="306"/>
      <c r="H53" s="307"/>
    </row>
    <row r="54" spans="1:8" ht="15.75">
      <c r="A54" s="56"/>
      <c r="B54" s="40"/>
      <c r="C54" s="163"/>
      <c r="D54" s="163"/>
      <c r="E54" s="163"/>
      <c r="F54" s="58"/>
      <c r="G54" s="59"/>
      <c r="H54" s="60"/>
    </row>
    <row r="55" spans="1:8">
      <c r="A55" s="34"/>
      <c r="B55" s="36"/>
      <c r="C55" s="164"/>
      <c r="D55" s="38"/>
      <c r="E55" s="39"/>
      <c r="F55" s="164"/>
      <c r="G55" s="164"/>
      <c r="H55" s="164"/>
    </row>
  </sheetData>
  <mergeCells count="11">
    <mergeCell ref="C9:E9"/>
    <mergeCell ref="C10:D10"/>
    <mergeCell ref="A53:H53"/>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19.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368" t="s">
        <v>49</v>
      </c>
      <c r="C1" s="368"/>
      <c r="D1" s="368"/>
      <c r="E1" s="368"/>
    </row>
    <row r="2" spans="1:5" s="29" customFormat="1" ht="17.45" customHeight="1">
      <c r="A2" s="28"/>
      <c r="B2" s="372" t="s">
        <v>6</v>
      </c>
      <c r="C2" s="372"/>
      <c r="D2" s="372"/>
      <c r="E2" s="372"/>
    </row>
    <row r="3" spans="1:5" s="29" customFormat="1" ht="17.45" customHeight="1">
      <c r="A3" s="28"/>
      <c r="B3" s="368" t="s">
        <v>7</v>
      </c>
      <c r="C3" s="368"/>
      <c r="D3" s="368"/>
      <c r="E3" s="368"/>
    </row>
    <row r="4" spans="1:5" s="6" customFormat="1" ht="17.45" customHeight="1">
      <c r="A4" s="24"/>
      <c r="B4" s="369" t="s">
        <v>0</v>
      </c>
      <c r="C4" s="369"/>
      <c r="D4" s="369"/>
      <c r="E4" s="369"/>
    </row>
    <row r="5" spans="1:5" s="6" customFormat="1">
      <c r="A5" s="24"/>
      <c r="B5" s="3"/>
      <c r="C5" s="4"/>
      <c r="D5" s="5"/>
      <c r="E5" s="5"/>
    </row>
    <row r="6" spans="1:5" s="6" customFormat="1" ht="35.450000000000003" customHeight="1">
      <c r="A6" s="25" t="s">
        <v>1</v>
      </c>
      <c r="B6" s="371" t="e">
        <f>#REF!</f>
        <v>#REF!</v>
      </c>
      <c r="C6" s="371"/>
      <c r="D6" s="371"/>
      <c r="E6" s="371"/>
    </row>
    <row r="7" spans="1:5" s="6" customFormat="1" ht="27.6" customHeight="1">
      <c r="A7" s="24" t="s">
        <v>2</v>
      </c>
      <c r="B7" s="371" t="e">
        <f>#REF!</f>
        <v>#REF!</v>
      </c>
      <c r="C7" s="371"/>
      <c r="D7" s="370" t="s">
        <v>48</v>
      </c>
      <c r="E7" s="370"/>
    </row>
    <row r="8" spans="1:5" s="6" customFormat="1">
      <c r="A8" s="24"/>
      <c r="B8" s="3"/>
      <c r="C8" s="4"/>
      <c r="D8" s="5"/>
      <c r="E8" s="5"/>
    </row>
    <row r="9" spans="1:5" s="6" customFormat="1" ht="12.75" customHeight="1">
      <c r="A9" s="362" t="s">
        <v>54</v>
      </c>
      <c r="B9" s="362"/>
      <c r="C9" s="362"/>
      <c r="D9" s="362"/>
      <c r="E9" s="362"/>
    </row>
    <row r="10" spans="1:5" s="6" customFormat="1" ht="13.5" customHeight="1">
      <c r="A10" s="362"/>
      <c r="B10" s="362"/>
      <c r="C10" s="362"/>
      <c r="D10" s="362"/>
      <c r="E10" s="362"/>
    </row>
    <row r="11" spans="1:5">
      <c r="A11" s="22"/>
      <c r="B11" s="21"/>
      <c r="C11" s="22"/>
      <c r="D11" s="21"/>
      <c r="E11" s="21"/>
    </row>
    <row r="12" spans="1:5">
      <c r="A12" s="17" t="s">
        <v>12</v>
      </c>
      <c r="B12" s="364" t="s">
        <v>13</v>
      </c>
      <c r="C12" s="364"/>
      <c r="D12" s="364"/>
      <c r="E12" s="18">
        <f>SUM(E13:E16)</f>
        <v>3.4000000000000002E-2</v>
      </c>
    </row>
    <row r="13" spans="1:5">
      <c r="A13" s="19" t="s">
        <v>14</v>
      </c>
      <c r="B13" s="365" t="s">
        <v>15</v>
      </c>
      <c r="C13" s="365"/>
      <c r="D13" s="365"/>
      <c r="E13" s="20">
        <v>1.4999999999999999E-2</v>
      </c>
    </row>
    <row r="14" spans="1:5">
      <c r="A14" s="19" t="s">
        <v>16</v>
      </c>
      <c r="B14" s="365" t="s">
        <v>46</v>
      </c>
      <c r="C14" s="365"/>
      <c r="D14" s="365"/>
      <c r="E14" s="20">
        <v>7.0000000000000001E-3</v>
      </c>
    </row>
    <row r="15" spans="1:5">
      <c r="A15" s="19" t="s">
        <v>17</v>
      </c>
      <c r="B15" s="365" t="s">
        <v>18</v>
      </c>
      <c r="C15" s="365"/>
      <c r="D15" s="365"/>
      <c r="E15" s="20">
        <v>8.5000000000000006E-3</v>
      </c>
    </row>
    <row r="16" spans="1:5" ht="16.5" customHeight="1">
      <c r="A16" s="19" t="s">
        <v>19</v>
      </c>
      <c r="B16" s="365" t="s">
        <v>47</v>
      </c>
      <c r="C16" s="365"/>
      <c r="D16" s="365"/>
      <c r="E16" s="20">
        <v>3.5000000000000001E-3</v>
      </c>
    </row>
    <row r="17" spans="1:5">
      <c r="A17" s="19"/>
      <c r="B17" s="365"/>
      <c r="C17" s="365"/>
      <c r="D17" s="365"/>
      <c r="E17" s="16"/>
    </row>
    <row r="18" spans="1:5">
      <c r="A18" s="17" t="s">
        <v>20</v>
      </c>
      <c r="B18" s="364" t="s">
        <v>21</v>
      </c>
      <c r="C18" s="364"/>
      <c r="D18" s="364"/>
      <c r="E18" s="18">
        <f>SUM(E19:E23)</f>
        <v>6.6500000000000004E-2</v>
      </c>
    </row>
    <row r="19" spans="1:5">
      <c r="A19" s="19" t="s">
        <v>22</v>
      </c>
      <c r="B19" s="365" t="s">
        <v>23</v>
      </c>
      <c r="C19" s="365"/>
      <c r="D19" s="365"/>
      <c r="E19" s="20">
        <v>6.4999999999999997E-3</v>
      </c>
    </row>
    <row r="20" spans="1:5">
      <c r="A20" s="19" t="s">
        <v>24</v>
      </c>
      <c r="B20" s="365" t="s">
        <v>25</v>
      </c>
      <c r="C20" s="365"/>
      <c r="D20" s="365"/>
      <c r="E20" s="20">
        <v>0.03</v>
      </c>
    </row>
    <row r="21" spans="1:5">
      <c r="A21" s="19" t="s">
        <v>26</v>
      </c>
      <c r="B21" s="365" t="s">
        <v>27</v>
      </c>
      <c r="C21" s="365"/>
      <c r="D21" s="365"/>
      <c r="E21" s="20">
        <v>0</v>
      </c>
    </row>
    <row r="22" spans="1:5">
      <c r="A22" s="19" t="s">
        <v>28</v>
      </c>
      <c r="B22" s="26" t="s">
        <v>50</v>
      </c>
      <c r="C22" s="26"/>
      <c r="D22" s="26"/>
      <c r="E22" s="20">
        <v>0.03</v>
      </c>
    </row>
    <row r="23" spans="1:5">
      <c r="A23" s="19" t="s">
        <v>28</v>
      </c>
      <c r="B23" s="365" t="s">
        <v>29</v>
      </c>
      <c r="C23" s="365"/>
      <c r="D23" s="365"/>
      <c r="E23" s="20">
        <v>0</v>
      </c>
    </row>
    <row r="24" spans="1:5">
      <c r="A24" s="19"/>
      <c r="B24" s="365"/>
      <c r="C24" s="365"/>
      <c r="D24" s="365"/>
      <c r="E24" s="16"/>
    </row>
    <row r="25" spans="1:5">
      <c r="A25" s="17" t="s">
        <v>30</v>
      </c>
      <c r="B25" s="364" t="s">
        <v>31</v>
      </c>
      <c r="C25" s="364"/>
      <c r="D25" s="364"/>
      <c r="E25" s="18">
        <f>SUM(E26:E26)</f>
        <v>3.5000000000000003E-2</v>
      </c>
    </row>
    <row r="26" spans="1:5">
      <c r="A26" s="19" t="s">
        <v>32</v>
      </c>
      <c r="B26" s="365" t="s">
        <v>33</v>
      </c>
      <c r="C26" s="365"/>
      <c r="D26" s="365"/>
      <c r="E26" s="20">
        <v>3.5000000000000003E-2</v>
      </c>
    </row>
    <row r="27" spans="1:5">
      <c r="A27" s="19"/>
      <c r="B27" s="365"/>
      <c r="C27" s="365"/>
      <c r="D27" s="365"/>
      <c r="E27" s="19"/>
    </row>
    <row r="28" spans="1:5">
      <c r="A28" s="17" t="s">
        <v>34</v>
      </c>
      <c r="B28" s="364" t="s">
        <v>35</v>
      </c>
      <c r="C28" s="364"/>
      <c r="D28" s="364"/>
      <c r="E28" s="18">
        <f>(((1+E13+E14+E16)*(1+E15)*(1+E26))/(1-E18))-1</f>
        <v>0.14666774102838764</v>
      </c>
    </row>
    <row r="29" spans="1:5">
      <c r="A29" s="9"/>
      <c r="B29" s="7"/>
      <c r="C29" s="9"/>
      <c r="D29" s="7"/>
      <c r="E29" s="7"/>
    </row>
    <row r="30" spans="1:5" ht="38.25" customHeight="1">
      <c r="A30" s="363" t="s">
        <v>36</v>
      </c>
      <c r="B30" s="363"/>
      <c r="C30" s="363"/>
      <c r="D30" s="363"/>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366"/>
      <c r="B44" s="366"/>
      <c r="C44" s="366"/>
      <c r="D44" s="366"/>
      <c r="E44" s="366"/>
    </row>
    <row r="45" spans="1:5">
      <c r="A45" s="30"/>
      <c r="B45" s="23"/>
      <c r="C45" s="23"/>
      <c r="D45" s="23"/>
      <c r="E45" s="23"/>
    </row>
    <row r="46" spans="1:5">
      <c r="A46" s="367" t="s">
        <v>51</v>
      </c>
      <c r="B46" s="367"/>
      <c r="C46" s="367"/>
      <c r="D46" s="367"/>
      <c r="E46" s="367"/>
    </row>
    <row r="47" spans="1:5">
      <c r="A47" s="367" t="s">
        <v>52</v>
      </c>
      <c r="B47" s="367"/>
      <c r="C47" s="367"/>
      <c r="D47" s="367"/>
      <c r="E47" s="367"/>
    </row>
    <row r="48" spans="1:5">
      <c r="A48" s="367" t="s">
        <v>53</v>
      </c>
      <c r="B48" s="367"/>
      <c r="C48" s="367"/>
      <c r="D48" s="367"/>
      <c r="E48" s="367"/>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topLeftCell="A35" workbookViewId="0">
      <selection activeCell="G44" sqref="G4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ht="6.75" customHeight="1">
      <c r="A5" s="41"/>
      <c r="B5" s="42"/>
      <c r="C5" s="43"/>
      <c r="D5" s="43"/>
      <c r="E5" s="33"/>
      <c r="F5" s="43"/>
      <c r="G5" s="43"/>
      <c r="H5" s="44"/>
    </row>
    <row r="6" spans="1:8">
      <c r="A6" s="67">
        <v>1</v>
      </c>
      <c r="B6" s="318" t="s">
        <v>124</v>
      </c>
      <c r="C6" s="318"/>
      <c r="D6" s="318"/>
      <c r="E6" s="318"/>
      <c r="F6" s="318"/>
      <c r="G6" s="318"/>
      <c r="H6" s="319"/>
    </row>
    <row r="7" spans="1:8" ht="32.25" customHeight="1">
      <c r="A7" s="68">
        <v>102</v>
      </c>
      <c r="B7" s="320" t="s">
        <v>57</v>
      </c>
      <c r="C7" s="320"/>
      <c r="D7" s="320"/>
      <c r="E7" s="320"/>
      <c r="F7" s="320"/>
      <c r="G7" s="320"/>
      <c r="H7" s="321"/>
    </row>
    <row r="8" spans="1:8" ht="15.75" customHeight="1">
      <c r="A8" s="69"/>
      <c r="B8" s="322"/>
      <c r="C8" s="323"/>
      <c r="D8" s="323"/>
      <c r="E8" s="323"/>
      <c r="F8" s="323"/>
      <c r="G8" s="70" t="s">
        <v>125</v>
      </c>
      <c r="H8" s="71" t="s">
        <v>126</v>
      </c>
    </row>
    <row r="9" spans="1:8">
      <c r="A9" s="45"/>
      <c r="B9" s="46"/>
      <c r="C9" s="308"/>
      <c r="D9" s="308"/>
      <c r="E9" s="308"/>
      <c r="F9" s="47"/>
      <c r="G9" s="61"/>
      <c r="H9" s="48"/>
    </row>
    <row r="10" spans="1:8" ht="15.75">
      <c r="A10" s="49" t="s">
        <v>113</v>
      </c>
      <c r="B10" s="46"/>
      <c r="C10" s="61" t="s">
        <v>127</v>
      </c>
      <c r="D10" s="61"/>
      <c r="E10" s="61"/>
      <c r="F10" s="47"/>
      <c r="G10" s="61"/>
      <c r="H10" s="48"/>
    </row>
    <row r="11" spans="1:8" ht="15.75">
      <c r="A11" s="45"/>
      <c r="B11" s="73" t="s">
        <v>114</v>
      </c>
      <c r="C11" s="73"/>
      <c r="D11" s="73"/>
      <c r="E11" s="74" t="s">
        <v>115</v>
      </c>
      <c r="F11" s="74" t="s">
        <v>116</v>
      </c>
      <c r="G11" s="74" t="s">
        <v>9</v>
      </c>
      <c r="H11" s="48"/>
    </row>
    <row r="12" spans="1:8">
      <c r="A12" s="72"/>
      <c r="B12" s="75" t="s">
        <v>128</v>
      </c>
      <c r="C12" s="76"/>
      <c r="D12" s="77"/>
      <c r="E12" s="77"/>
      <c r="F12" s="78"/>
      <c r="G12" s="78">
        <f>G28</f>
        <v>433.51000000000022</v>
      </c>
      <c r="H12" s="48"/>
    </row>
    <row r="13" spans="1:8" ht="15.75">
      <c r="A13" s="45"/>
      <c r="B13" s="87" t="s">
        <v>9</v>
      </c>
      <c r="C13" s="88"/>
      <c r="D13" s="88"/>
      <c r="E13" s="88"/>
      <c r="F13" s="88"/>
      <c r="G13" s="89">
        <f>SUM(G12:G12)</f>
        <v>433.51000000000022</v>
      </c>
      <c r="H13" s="48"/>
    </row>
    <row r="14" spans="1:8">
      <c r="A14" s="45"/>
      <c r="B14" s="42"/>
      <c r="C14" s="42"/>
      <c r="D14" s="42"/>
      <c r="E14" s="42"/>
      <c r="F14" s="42"/>
      <c r="G14" s="42"/>
      <c r="H14" s="48"/>
    </row>
    <row r="15" spans="1:8" ht="15.75">
      <c r="A15" s="50"/>
      <c r="B15" s="79" t="s">
        <v>117</v>
      </c>
      <c r="C15" s="80">
        <v>4300</v>
      </c>
      <c r="D15" s="43"/>
      <c r="E15" s="43"/>
      <c r="F15" s="42"/>
      <c r="G15" s="228"/>
      <c r="H15" s="51"/>
    </row>
    <row r="16" spans="1:8" ht="15.75">
      <c r="A16" s="52"/>
      <c r="B16" s="79" t="s">
        <v>118</v>
      </c>
      <c r="C16" s="80">
        <f>2242.8573+C19</f>
        <v>2676.3673000000003</v>
      </c>
      <c r="D16" s="42"/>
      <c r="E16" s="42"/>
      <c r="F16" s="42"/>
      <c r="G16" s="42"/>
      <c r="H16" s="51"/>
    </row>
    <row r="17" spans="1:8" ht="15.75">
      <c r="A17" s="52"/>
      <c r="B17" s="79" t="s">
        <v>119</v>
      </c>
      <c r="C17" s="80">
        <f>C15-C16</f>
        <v>1623.6326999999997</v>
      </c>
      <c r="D17" s="42"/>
      <c r="E17" s="42"/>
      <c r="F17" s="42"/>
      <c r="G17" s="42"/>
      <c r="H17" s="51"/>
    </row>
    <row r="18" spans="1:8" ht="15.75">
      <c r="A18" s="63"/>
      <c r="B18" s="79" t="s">
        <v>120</v>
      </c>
      <c r="C18" s="80"/>
      <c r="D18" s="42"/>
      <c r="E18" s="42"/>
      <c r="F18" s="42"/>
      <c r="G18" s="42"/>
      <c r="H18" s="51"/>
    </row>
    <row r="19" spans="1:8" ht="15.75">
      <c r="A19" s="63"/>
      <c r="B19" s="79" t="s">
        <v>121</v>
      </c>
      <c r="C19" s="80">
        <f>G13</f>
        <v>433.51000000000022</v>
      </c>
      <c r="D19" s="42"/>
      <c r="E19" s="42"/>
      <c r="F19" s="42"/>
      <c r="G19" s="42"/>
      <c r="H19" s="51"/>
    </row>
    <row r="20" spans="1:8">
      <c r="A20" s="63"/>
      <c r="H20" s="51"/>
    </row>
    <row r="21" spans="1:8">
      <c r="A21" s="324" t="s">
        <v>317</v>
      </c>
      <c r="B21" s="325"/>
      <c r="C21" s="326"/>
      <c r="H21" s="51"/>
    </row>
    <row r="22" spans="1:8">
      <c r="A22" s="324" t="s">
        <v>218</v>
      </c>
      <c r="B22" s="325"/>
      <c r="C22" s="326"/>
      <c r="H22" s="51"/>
    </row>
    <row r="23" spans="1:8">
      <c r="A23" s="166" t="s">
        <v>209</v>
      </c>
      <c r="B23" s="167" t="s">
        <v>183</v>
      </c>
      <c r="C23" s="167" t="s">
        <v>277</v>
      </c>
      <c r="D23" s="166" t="s">
        <v>210</v>
      </c>
      <c r="E23" s="224" t="s">
        <v>102</v>
      </c>
      <c r="F23" s="168" t="s">
        <v>220</v>
      </c>
      <c r="G23" s="169" t="s">
        <v>221</v>
      </c>
      <c r="H23" s="51"/>
    </row>
    <row r="24" spans="1:8">
      <c r="A24" s="201" t="s">
        <v>211</v>
      </c>
      <c r="B24" s="194">
        <f>'[2]Demolição 102'!$C$38</f>
        <v>91.417500000000004</v>
      </c>
      <c r="C24" s="194">
        <v>12.31</v>
      </c>
      <c r="D24" s="224" t="s">
        <v>206</v>
      </c>
      <c r="E24" s="175">
        <v>44501</v>
      </c>
      <c r="F24" s="168">
        <v>1074.92</v>
      </c>
      <c r="G24" s="168"/>
      <c r="H24" s="51"/>
    </row>
    <row r="25" spans="1:8">
      <c r="A25" s="201" t="s">
        <v>212</v>
      </c>
      <c r="B25" s="194">
        <f>'[2]Demolição 102'!$C$39</f>
        <v>170.01200000000003</v>
      </c>
      <c r="C25" s="194">
        <v>22.98</v>
      </c>
      <c r="D25" s="224" t="s">
        <v>206</v>
      </c>
      <c r="E25" s="175">
        <v>44531</v>
      </c>
      <c r="F25" s="183">
        <v>1247.6699999999998</v>
      </c>
      <c r="G25" s="168">
        <f>F25-F24</f>
        <v>172.74999999999977</v>
      </c>
      <c r="H25" s="51"/>
    </row>
    <row r="26" spans="1:8">
      <c r="A26" s="201" t="s">
        <v>213</v>
      </c>
      <c r="B26" s="194">
        <f>'[2]Demolição 102'!$C$40</f>
        <v>133.50800000000001</v>
      </c>
      <c r="C26" s="194">
        <v>14.22</v>
      </c>
      <c r="D26" s="224" t="s">
        <v>206</v>
      </c>
      <c r="E26" s="237">
        <v>44562</v>
      </c>
      <c r="F26" s="238">
        <v>1890.2673</v>
      </c>
      <c r="G26" s="238">
        <f>F26-F25</f>
        <v>642.59730000000013</v>
      </c>
      <c r="H26" s="51"/>
    </row>
    <row r="27" spans="1:8">
      <c r="A27" s="201" t="s">
        <v>214</v>
      </c>
      <c r="B27" s="194">
        <f>'[2]Demolição 102'!$C$41</f>
        <v>538.995</v>
      </c>
      <c r="C27" s="194">
        <v>66.98</v>
      </c>
      <c r="D27" s="224" t="s">
        <v>206</v>
      </c>
      <c r="E27" s="175">
        <v>44593</v>
      </c>
      <c r="F27" s="183">
        <v>2242.8572999999997</v>
      </c>
      <c r="G27" s="183">
        <f>F27-F26</f>
        <v>352.58999999999969</v>
      </c>
      <c r="H27" s="51"/>
    </row>
    <row r="28" spans="1:8">
      <c r="A28" s="201" t="s">
        <v>215</v>
      </c>
      <c r="B28" s="194">
        <f>'[2]Demolição 102'!$C$42</f>
        <v>133.50800000000001</v>
      </c>
      <c r="C28" s="194"/>
      <c r="D28" s="224" t="s">
        <v>206</v>
      </c>
      <c r="E28" s="175">
        <v>44621</v>
      </c>
      <c r="F28" s="183">
        <f>B40</f>
        <v>2676.3672999999999</v>
      </c>
      <c r="G28" s="183">
        <f>F28-F27</f>
        <v>433.51000000000022</v>
      </c>
      <c r="H28" s="51"/>
    </row>
    <row r="29" spans="1:8">
      <c r="A29" s="201" t="s">
        <v>216</v>
      </c>
      <c r="B29" s="194">
        <f>'[2]Demolição 102'!$C$43</f>
        <v>170.01200000000003</v>
      </c>
      <c r="C29" s="194"/>
      <c r="D29" s="169" t="s">
        <v>206</v>
      </c>
      <c r="H29" s="51"/>
    </row>
    <row r="30" spans="1:8">
      <c r="A30" s="201" t="s">
        <v>219</v>
      </c>
      <c r="B30" s="194">
        <f>'[2]Demolição 102'!$C$44</f>
        <v>91.417500000000004</v>
      </c>
      <c r="C30" s="194"/>
      <c r="D30" s="169" t="s">
        <v>206</v>
      </c>
      <c r="H30" s="51"/>
    </row>
    <row r="31" spans="1:8">
      <c r="A31" s="201" t="s">
        <v>230</v>
      </c>
      <c r="B31" s="194">
        <f>'[2]Demolição 102'!$C$45</f>
        <v>150.52000000000001</v>
      </c>
      <c r="C31" s="194"/>
      <c r="D31" s="169" t="s">
        <v>206</v>
      </c>
      <c r="H31" s="51"/>
    </row>
    <row r="32" spans="1:8">
      <c r="A32" s="201" t="s">
        <v>231</v>
      </c>
      <c r="B32" s="194">
        <f>'[2]Demolição 102'!$C$46</f>
        <v>73.378500000000003</v>
      </c>
      <c r="C32" s="194"/>
      <c r="D32" s="169" t="s">
        <v>206</v>
      </c>
      <c r="H32" s="51"/>
    </row>
    <row r="33" spans="1:8">
      <c r="A33" s="201" t="s">
        <v>232</v>
      </c>
      <c r="B33" s="194">
        <f>'[2]Demolição 102'!$C$47</f>
        <v>45.49</v>
      </c>
      <c r="C33" s="194"/>
      <c r="D33" s="169" t="s">
        <v>206</v>
      </c>
      <c r="H33" s="51"/>
    </row>
    <row r="34" spans="1:8">
      <c r="A34" s="201" t="s">
        <v>233</v>
      </c>
      <c r="B34" s="194">
        <f>'[2]Demolição 102'!$C$48</f>
        <v>292.00880000000001</v>
      </c>
      <c r="C34" s="194"/>
      <c r="D34" s="169" t="s">
        <v>206</v>
      </c>
      <c r="H34" s="51"/>
    </row>
    <row r="35" spans="1:8">
      <c r="A35" s="201" t="s">
        <v>234</v>
      </c>
      <c r="B35" s="194">
        <f>'[2]Demolição 102'!$C$49</f>
        <v>158.72</v>
      </c>
      <c r="C35" s="194"/>
      <c r="D35" s="169" t="s">
        <v>206</v>
      </c>
      <c r="H35" s="51"/>
    </row>
    <row r="36" spans="1:8">
      <c r="A36" s="201" t="s">
        <v>262</v>
      </c>
      <c r="B36" s="194">
        <f>'[2]Demolição 102'!$C$50</f>
        <v>77.38</v>
      </c>
      <c r="C36" s="194"/>
      <c r="D36" s="169" t="s">
        <v>206</v>
      </c>
      <c r="H36" s="51"/>
    </row>
    <row r="37" spans="1:8">
      <c r="A37" s="201" t="s">
        <v>263</v>
      </c>
      <c r="B37" s="194">
        <f>[3]ÁREAS!$L$21</f>
        <v>20.16</v>
      </c>
      <c r="C37" s="194"/>
      <c r="D37" s="169" t="s">
        <v>206</v>
      </c>
      <c r="H37" s="51"/>
    </row>
    <row r="38" spans="1:8" ht="15.75">
      <c r="A38" s="201" t="s">
        <v>264</v>
      </c>
      <c r="B38" s="194">
        <f>[3]ÁREAS!$K$22</f>
        <v>288.44</v>
      </c>
      <c r="C38" s="194"/>
      <c r="D38" s="169" t="s">
        <v>206</v>
      </c>
      <c r="H38" s="54"/>
    </row>
    <row r="39" spans="1:8" ht="23.25">
      <c r="A39" s="271" t="s">
        <v>299</v>
      </c>
      <c r="B39" s="194">
        <f>[3]ÁREAS!$K$32</f>
        <v>124.91</v>
      </c>
      <c r="C39" s="194"/>
      <c r="D39" s="169" t="s">
        <v>206</v>
      </c>
      <c r="H39" s="54"/>
    </row>
    <row r="40" spans="1:8" ht="15.75">
      <c r="A40" s="226" t="s">
        <v>9</v>
      </c>
      <c r="B40" s="327">
        <f>SUM(B24:B39)+SUM(C24:C39)</f>
        <v>2676.3672999999999</v>
      </c>
      <c r="C40" s="327"/>
      <c r="D40" s="227" t="s">
        <v>206</v>
      </c>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25"/>
      <c r="C43" s="225"/>
      <c r="D43" s="225"/>
      <c r="E43" s="42"/>
      <c r="F43" s="42"/>
      <c r="G43" s="35"/>
      <c r="H43" s="54"/>
    </row>
    <row r="44" spans="1:8" ht="15.75">
      <c r="A44" s="45"/>
      <c r="B44" s="225"/>
      <c r="C44" s="225"/>
      <c r="D44" s="225"/>
      <c r="E44" s="42"/>
      <c r="F44" s="42"/>
      <c r="G44" s="35"/>
      <c r="H44" s="54"/>
    </row>
    <row r="45" spans="1:8" ht="15.75">
      <c r="A45" s="45"/>
      <c r="B45" s="62"/>
      <c r="C45" s="62"/>
      <c r="D45" s="62"/>
      <c r="E45" s="42"/>
      <c r="F45" s="42"/>
      <c r="G45" s="35"/>
      <c r="H45" s="54"/>
    </row>
    <row r="46" spans="1:8" ht="15.75">
      <c r="A46" s="45"/>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62"/>
      <c r="C50" s="62"/>
      <c r="D50" s="62"/>
      <c r="E50" s="42"/>
      <c r="F50" s="42"/>
      <c r="G50" s="35"/>
      <c r="H50" s="54"/>
    </row>
    <row r="51" spans="1:8" ht="15.75">
      <c r="A51" s="45"/>
      <c r="B51" s="62"/>
      <c r="C51" s="62"/>
      <c r="D51" s="62"/>
      <c r="E51" s="42"/>
      <c r="F51" s="42"/>
      <c r="G51" s="35"/>
      <c r="H51" s="54"/>
    </row>
    <row r="52" spans="1:8" ht="15.75">
      <c r="A52" s="45"/>
      <c r="B52" s="62"/>
      <c r="C52" s="62"/>
      <c r="D52" s="62"/>
      <c r="E52" s="42"/>
      <c r="F52" s="42"/>
      <c r="G52" s="35"/>
      <c r="H52" s="54"/>
    </row>
    <row r="53" spans="1:8" ht="15.75">
      <c r="A53" s="45"/>
      <c r="B53" s="46"/>
      <c r="C53" s="61"/>
      <c r="D53" s="61"/>
      <c r="E53" s="61"/>
      <c r="F53" s="47"/>
      <c r="G53" s="55"/>
      <c r="H53" s="48"/>
    </row>
    <row r="54" spans="1:8" ht="15.75">
      <c r="A54" s="81" t="s">
        <v>122</v>
      </c>
      <c r="B54" s="82"/>
      <c r="C54" s="83"/>
      <c r="D54" s="84"/>
      <c r="E54" s="85"/>
      <c r="F54" s="83"/>
      <c r="G54" s="83"/>
      <c r="H54" s="86"/>
    </row>
    <row r="55" spans="1:8" ht="15" customHeight="1">
      <c r="A55" s="305" t="s">
        <v>149</v>
      </c>
      <c r="B55" s="306"/>
      <c r="C55" s="306"/>
      <c r="D55" s="306"/>
      <c r="E55" s="306"/>
      <c r="F55" s="306"/>
      <c r="G55" s="306"/>
      <c r="H55" s="307"/>
    </row>
    <row r="56" spans="1:8" ht="15.75">
      <c r="A56" s="56"/>
      <c r="B56" s="40"/>
      <c r="C56" s="57"/>
      <c r="D56" s="57"/>
      <c r="E56" s="57"/>
      <c r="F56" s="58"/>
      <c r="G56" s="59"/>
      <c r="H56" s="60"/>
    </row>
    <row r="57" spans="1:8">
      <c r="A57" s="34"/>
      <c r="B57" s="36"/>
      <c r="C57" s="37"/>
      <c r="D57" s="38"/>
      <c r="E57" s="39"/>
      <c r="F57" s="37"/>
      <c r="G57" s="37"/>
      <c r="H57" s="37"/>
    </row>
  </sheetData>
  <mergeCells count="11">
    <mergeCell ref="A55:H55"/>
    <mergeCell ref="C9:E9"/>
    <mergeCell ref="A2:H2"/>
    <mergeCell ref="A3:H3"/>
    <mergeCell ref="A4:H4"/>
    <mergeCell ref="B6:H6"/>
    <mergeCell ref="B7:H7"/>
    <mergeCell ref="B8:F8"/>
    <mergeCell ref="A21:C21"/>
    <mergeCell ref="A22:C22"/>
    <mergeCell ref="B40:C40"/>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7"/>
  <sheetViews>
    <sheetView topLeftCell="A40" workbookViewId="0">
      <selection activeCell="J52" sqref="J52"/>
    </sheetView>
  </sheetViews>
  <sheetFormatPr defaultRowHeight="15"/>
  <cols>
    <col min="1" max="1" width="10.8554687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295</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32.25" customHeight="1">
      <c r="A7" s="68">
        <v>103</v>
      </c>
      <c r="B7" s="320" t="str">
        <f>'BM07'!B14</f>
        <v>DEMOLIÇÃO DE ARGAMASSAS, DE FORMA MANUAL, SEM REAPROVEITAMENTO</v>
      </c>
      <c r="C7" s="320"/>
      <c r="D7" s="320"/>
      <c r="E7" s="320"/>
      <c r="F7" s="320"/>
      <c r="G7" s="320"/>
      <c r="H7" s="321"/>
    </row>
    <row r="8" spans="1:8" ht="15.75" customHeight="1">
      <c r="A8" s="69"/>
      <c r="B8" s="322"/>
      <c r="C8" s="323"/>
      <c r="D8" s="323"/>
      <c r="E8" s="323"/>
      <c r="F8" s="323"/>
      <c r="G8" s="70" t="s">
        <v>125</v>
      </c>
      <c r="H8" s="71" t="s">
        <v>126</v>
      </c>
    </row>
    <row r="9" spans="1:8">
      <c r="A9" s="45"/>
      <c r="B9" s="46"/>
      <c r="C9" s="308"/>
      <c r="D9" s="308"/>
      <c r="E9" s="308"/>
      <c r="F9" s="47"/>
      <c r="G9" s="257"/>
      <c r="H9" s="48"/>
    </row>
    <row r="10" spans="1:8" ht="15.75">
      <c r="A10" s="49" t="s">
        <v>113</v>
      </c>
      <c r="B10" s="46"/>
      <c r="C10" s="257" t="s">
        <v>127</v>
      </c>
      <c r="D10" s="257"/>
      <c r="E10" s="257"/>
      <c r="F10" s="47"/>
      <c r="G10" s="257"/>
      <c r="H10" s="48"/>
    </row>
    <row r="11" spans="1:8" ht="15.75">
      <c r="A11" s="45"/>
      <c r="B11" s="73" t="s">
        <v>114</v>
      </c>
      <c r="C11" s="73"/>
      <c r="D11" s="74" t="s">
        <v>293</v>
      </c>
      <c r="E11" s="328" t="s">
        <v>294</v>
      </c>
      <c r="F11" s="328"/>
      <c r="G11" s="74" t="s">
        <v>9</v>
      </c>
      <c r="H11" s="48"/>
    </row>
    <row r="12" spans="1:8">
      <c r="A12" s="72"/>
      <c r="B12" s="75" t="s">
        <v>292</v>
      </c>
      <c r="C12" s="76"/>
      <c r="D12" s="77">
        <v>1</v>
      </c>
      <c r="E12" s="329">
        <f>G28</f>
        <v>2676.3672999999999</v>
      </c>
      <c r="F12" s="330"/>
      <c r="G12" s="78">
        <f>G28</f>
        <v>2676.3672999999999</v>
      </c>
      <c r="H12" s="48"/>
    </row>
    <row r="13" spans="1:8" ht="15.75">
      <c r="A13" s="45"/>
      <c r="B13" s="87" t="s">
        <v>9</v>
      </c>
      <c r="C13" s="88"/>
      <c r="D13" s="88"/>
      <c r="E13" s="88"/>
      <c r="F13" s="88"/>
      <c r="G13" s="89">
        <f>SUM(G12:G12)</f>
        <v>2676.3672999999999</v>
      </c>
      <c r="H13" s="48"/>
    </row>
    <row r="14" spans="1:8">
      <c r="A14" s="45"/>
      <c r="B14" s="42"/>
      <c r="C14" s="42"/>
      <c r="D14" s="42"/>
      <c r="E14" s="42"/>
      <c r="F14" s="42"/>
      <c r="G14" s="42"/>
      <c r="H14" s="48"/>
    </row>
    <row r="15" spans="1:8" ht="15.75">
      <c r="A15" s="50"/>
      <c r="B15" s="79" t="s">
        <v>117</v>
      </c>
      <c r="C15" s="80">
        <v>4300</v>
      </c>
      <c r="D15" s="43"/>
      <c r="E15" s="43"/>
      <c r="F15" s="42"/>
      <c r="G15" s="228"/>
      <c r="H15" s="51"/>
    </row>
    <row r="16" spans="1:8" ht="15.75">
      <c r="A16" s="52"/>
      <c r="B16" s="79" t="s">
        <v>118</v>
      </c>
      <c r="C16" s="80">
        <f>G13</f>
        <v>2676.3672999999999</v>
      </c>
      <c r="D16" s="42"/>
      <c r="E16" s="42"/>
      <c r="F16" s="42"/>
      <c r="G16" s="42"/>
      <c r="H16" s="51"/>
    </row>
    <row r="17" spans="1:8" ht="15.75">
      <c r="A17" s="52"/>
      <c r="B17" s="79" t="s">
        <v>119</v>
      </c>
      <c r="C17" s="80">
        <f>C15-C16</f>
        <v>1623.6327000000001</v>
      </c>
      <c r="D17" s="42"/>
      <c r="E17" s="42"/>
      <c r="F17" s="42"/>
      <c r="G17" s="42"/>
      <c r="H17" s="51"/>
    </row>
    <row r="18" spans="1:8" ht="15.75">
      <c r="A18" s="256"/>
      <c r="B18" s="79" t="s">
        <v>120</v>
      </c>
      <c r="C18" s="80"/>
      <c r="D18" s="42"/>
      <c r="E18" s="42"/>
      <c r="F18" s="42"/>
      <c r="G18" s="42"/>
      <c r="H18" s="51"/>
    </row>
    <row r="19" spans="1:8" ht="15.75">
      <c r="A19" s="256"/>
      <c r="B19" s="79" t="s">
        <v>121</v>
      </c>
      <c r="C19" s="80">
        <f>G13</f>
        <v>2676.3672999999999</v>
      </c>
      <c r="D19" s="42"/>
      <c r="E19" s="42"/>
      <c r="F19" s="42"/>
      <c r="G19" s="42"/>
      <c r="H19" s="51"/>
    </row>
    <row r="20" spans="1:8">
      <c r="A20" s="256"/>
      <c r="H20" s="51"/>
    </row>
    <row r="21" spans="1:8">
      <c r="A21" s="324" t="s">
        <v>261</v>
      </c>
      <c r="B21" s="325"/>
      <c r="C21" s="326"/>
      <c r="H21" s="51"/>
    </row>
    <row r="22" spans="1:8">
      <c r="A22" s="324" t="s">
        <v>218</v>
      </c>
      <c r="B22" s="325"/>
      <c r="C22" s="326"/>
      <c r="H22" s="51"/>
    </row>
    <row r="23" spans="1:8">
      <c r="A23" s="262" t="s">
        <v>209</v>
      </c>
      <c r="B23" s="167" t="s">
        <v>183</v>
      </c>
      <c r="C23" s="167" t="s">
        <v>277</v>
      </c>
      <c r="D23" s="262" t="s">
        <v>210</v>
      </c>
      <c r="E23" s="261" t="s">
        <v>102</v>
      </c>
      <c r="F23" s="168" t="s">
        <v>220</v>
      </c>
      <c r="G23" s="169" t="s">
        <v>221</v>
      </c>
      <c r="H23" s="51"/>
    </row>
    <row r="24" spans="1:8">
      <c r="A24" s="168" t="s">
        <v>211</v>
      </c>
      <c r="B24" s="194">
        <f>'[2]Demolição 102'!$C$38</f>
        <v>91.417500000000004</v>
      </c>
      <c r="C24" s="194">
        <v>12.31</v>
      </c>
      <c r="D24" s="261" t="s">
        <v>206</v>
      </c>
      <c r="E24" s="175">
        <v>44501</v>
      </c>
      <c r="F24" s="168"/>
      <c r="G24" s="168"/>
      <c r="H24" s="51"/>
    </row>
    <row r="25" spans="1:8">
      <c r="A25" s="168" t="s">
        <v>212</v>
      </c>
      <c r="B25" s="194">
        <f>'[2]Demolição 102'!$C$39</f>
        <v>170.01200000000003</v>
      </c>
      <c r="C25" s="194">
        <v>22.98</v>
      </c>
      <c r="D25" s="261" t="s">
        <v>206</v>
      </c>
      <c r="E25" s="175">
        <v>44531</v>
      </c>
      <c r="F25" s="183"/>
      <c r="G25" s="168"/>
      <c r="H25" s="51"/>
    </row>
    <row r="26" spans="1:8">
      <c r="A26" s="168" t="s">
        <v>213</v>
      </c>
      <c r="B26" s="194">
        <f>'[2]Demolição 102'!$C$40</f>
        <v>133.50800000000001</v>
      </c>
      <c r="C26" s="194">
        <v>14.22</v>
      </c>
      <c r="D26" s="261" t="s">
        <v>206</v>
      </c>
      <c r="E26" s="237">
        <v>44562</v>
      </c>
      <c r="F26" s="238"/>
      <c r="G26" s="238"/>
      <c r="H26" s="51"/>
    </row>
    <row r="27" spans="1:8">
      <c r="A27" s="168" t="s">
        <v>214</v>
      </c>
      <c r="B27" s="194">
        <f>'[2]Demolição 102'!$C$41</f>
        <v>538.995</v>
      </c>
      <c r="C27" s="194">
        <v>66.98</v>
      </c>
      <c r="D27" s="261" t="s">
        <v>206</v>
      </c>
      <c r="E27" s="175">
        <v>44593</v>
      </c>
      <c r="F27" s="183"/>
      <c r="G27" s="183"/>
      <c r="H27" s="51"/>
    </row>
    <row r="28" spans="1:8">
      <c r="A28" s="168" t="s">
        <v>215</v>
      </c>
      <c r="B28" s="194">
        <f>'[2]Demolição 102'!$C$42</f>
        <v>133.50800000000001</v>
      </c>
      <c r="C28" s="194"/>
      <c r="D28" s="261" t="s">
        <v>206</v>
      </c>
      <c r="E28" s="175">
        <v>44621</v>
      </c>
      <c r="F28" s="183">
        <f>B40</f>
        <v>2676.3672999999999</v>
      </c>
      <c r="G28" s="183">
        <f>F28-F27</f>
        <v>2676.3672999999999</v>
      </c>
      <c r="H28" s="51"/>
    </row>
    <row r="29" spans="1:8">
      <c r="A29" s="168" t="s">
        <v>216</v>
      </c>
      <c r="B29" s="194">
        <f>'[2]Demolição 102'!$C$43</f>
        <v>170.01200000000003</v>
      </c>
      <c r="C29" s="194"/>
      <c r="D29" s="169" t="s">
        <v>206</v>
      </c>
      <c r="H29" s="51"/>
    </row>
    <row r="30" spans="1:8">
      <c r="A30" s="168" t="s">
        <v>219</v>
      </c>
      <c r="B30" s="194">
        <f>'[2]Demolição 102'!$C$44</f>
        <v>91.417500000000004</v>
      </c>
      <c r="C30" s="194"/>
      <c r="D30" s="169" t="s">
        <v>206</v>
      </c>
      <c r="H30" s="51"/>
    </row>
    <row r="31" spans="1:8">
      <c r="A31" s="168" t="s">
        <v>230</v>
      </c>
      <c r="B31" s="194">
        <f>'[2]Demolição 102'!$C$45</f>
        <v>150.52000000000001</v>
      </c>
      <c r="C31" s="194"/>
      <c r="D31" s="169" t="s">
        <v>206</v>
      </c>
      <c r="H31" s="51"/>
    </row>
    <row r="32" spans="1:8">
      <c r="A32" s="168" t="s">
        <v>231</v>
      </c>
      <c r="B32" s="194">
        <f>'[2]Demolição 102'!$C$46</f>
        <v>73.378500000000003</v>
      </c>
      <c r="C32" s="194"/>
      <c r="D32" s="169" t="s">
        <v>206</v>
      </c>
      <c r="H32" s="51"/>
    </row>
    <row r="33" spans="1:8">
      <c r="A33" s="168" t="s">
        <v>232</v>
      </c>
      <c r="B33" s="194">
        <f>'[2]Demolição 102'!$C$47</f>
        <v>45.49</v>
      </c>
      <c r="C33" s="194"/>
      <c r="D33" s="169" t="s">
        <v>206</v>
      </c>
      <c r="H33" s="51"/>
    </row>
    <row r="34" spans="1:8">
      <c r="A34" s="168" t="s">
        <v>233</v>
      </c>
      <c r="B34" s="194">
        <f>'[2]Demolição 102'!$C$48</f>
        <v>292.00880000000001</v>
      </c>
      <c r="C34" s="194"/>
      <c r="D34" s="169" t="s">
        <v>206</v>
      </c>
      <c r="H34" s="51"/>
    </row>
    <row r="35" spans="1:8">
      <c r="A35" s="168" t="s">
        <v>234</v>
      </c>
      <c r="B35" s="194">
        <f>'[2]Demolição 102'!$C$49</f>
        <v>158.72</v>
      </c>
      <c r="C35" s="194"/>
      <c r="D35" s="169" t="s">
        <v>206</v>
      </c>
      <c r="H35" s="51"/>
    </row>
    <row r="36" spans="1:8">
      <c r="A36" s="168" t="s">
        <v>262</v>
      </c>
      <c r="B36" s="194">
        <f>'[2]Demolição 102'!$C$50</f>
        <v>77.38</v>
      </c>
      <c r="C36" s="194"/>
      <c r="D36" s="169" t="s">
        <v>206</v>
      </c>
      <c r="H36" s="51"/>
    </row>
    <row r="37" spans="1:8">
      <c r="A37" s="168" t="s">
        <v>263</v>
      </c>
      <c r="B37" s="194">
        <f>'[3]Demolição 102'!$C$51</f>
        <v>20.16</v>
      </c>
      <c r="C37" s="194"/>
      <c r="D37" s="169" t="s">
        <v>206</v>
      </c>
      <c r="H37" s="51"/>
    </row>
    <row r="38" spans="1:8" ht="15.75">
      <c r="A38" s="168" t="s">
        <v>264</v>
      </c>
      <c r="B38" s="194">
        <f>[3]ÁREAS!$K$22</f>
        <v>288.44</v>
      </c>
      <c r="C38" s="194"/>
      <c r="D38" s="169" t="s">
        <v>206</v>
      </c>
      <c r="H38" s="54"/>
    </row>
    <row r="39" spans="1:8" ht="15.75">
      <c r="A39" s="265" t="s">
        <v>297</v>
      </c>
      <c r="B39" s="194">
        <f>[3]ÁREAS!$K$32</f>
        <v>124.91</v>
      </c>
      <c r="C39" s="194"/>
      <c r="D39" s="169" t="s">
        <v>206</v>
      </c>
      <c r="H39" s="54"/>
    </row>
    <row r="40" spans="1:8" ht="15.75">
      <c r="A40" s="226" t="s">
        <v>9</v>
      </c>
      <c r="B40" s="327">
        <f>SUM(B24:B39)+SUM(C24:C39)</f>
        <v>2676.3672999999999</v>
      </c>
      <c r="C40" s="327"/>
      <c r="D40" s="227" t="s">
        <v>206</v>
      </c>
      <c r="H40" s="54"/>
    </row>
    <row r="41" spans="1:8" ht="15.75">
      <c r="A41" s="45"/>
      <c r="B41" s="260"/>
      <c r="C41" s="260"/>
      <c r="D41" s="260"/>
      <c r="E41" s="42"/>
      <c r="F41" s="42"/>
      <c r="G41" s="35"/>
      <c r="H41" s="54"/>
    </row>
    <row r="42" spans="1:8" ht="15.75">
      <c r="A42" s="45"/>
      <c r="B42" s="260"/>
      <c r="C42" s="260"/>
      <c r="D42" s="260"/>
      <c r="E42" s="42"/>
      <c r="F42" s="42"/>
      <c r="G42" s="35"/>
      <c r="H42" s="54"/>
    </row>
    <row r="43" spans="1:8" ht="15.75">
      <c r="A43" s="45"/>
      <c r="B43" s="159"/>
      <c r="C43" s="260"/>
      <c r="D43" s="260"/>
      <c r="E43" s="42"/>
      <c r="F43" s="42"/>
      <c r="G43" s="35"/>
      <c r="H43" s="54"/>
    </row>
    <row r="44" spans="1:8" ht="15.75">
      <c r="A44" s="45"/>
      <c r="B44" s="260"/>
      <c r="C44" s="260"/>
      <c r="D44" s="260"/>
      <c r="E44" s="42"/>
      <c r="F44" s="42"/>
      <c r="G44" s="35"/>
      <c r="H44" s="54"/>
    </row>
    <row r="45" spans="1:8" ht="15.75">
      <c r="A45" s="45"/>
      <c r="B45" s="260"/>
      <c r="C45" s="260"/>
      <c r="D45" s="260"/>
      <c r="E45" s="42"/>
      <c r="F45" s="42"/>
      <c r="G45" s="35"/>
      <c r="H45" s="54"/>
    </row>
    <row r="46" spans="1:8" ht="15.75">
      <c r="A46" s="45"/>
      <c r="D46" s="260"/>
      <c r="E46" s="42"/>
      <c r="F46" s="42"/>
      <c r="G46" s="35"/>
      <c r="H46" s="54"/>
    </row>
    <row r="47" spans="1:8" ht="15.75">
      <c r="A47" s="45"/>
      <c r="B47" s="260"/>
      <c r="C47" s="260"/>
      <c r="D47" s="260"/>
      <c r="E47" s="42"/>
      <c r="F47" s="42"/>
      <c r="G47" s="35"/>
      <c r="H47" s="54"/>
    </row>
    <row r="48" spans="1:8" ht="15.75">
      <c r="A48" s="45"/>
      <c r="B48" s="260"/>
      <c r="C48" s="260"/>
      <c r="D48" s="260"/>
      <c r="E48" s="42"/>
      <c r="F48" s="42"/>
      <c r="G48" s="35"/>
      <c r="H48" s="54"/>
    </row>
    <row r="49" spans="1:8" ht="15.75">
      <c r="A49" s="45"/>
      <c r="B49" s="260"/>
      <c r="C49" s="260"/>
      <c r="D49" s="260"/>
      <c r="E49" s="42"/>
      <c r="F49" s="42"/>
      <c r="G49" s="35"/>
      <c r="H49" s="54"/>
    </row>
    <row r="50" spans="1:8" ht="15.75">
      <c r="A50" s="45"/>
      <c r="B50" s="260"/>
      <c r="C50" s="260"/>
      <c r="D50" s="260"/>
      <c r="E50" s="42"/>
      <c r="F50" s="42"/>
      <c r="G50" s="35"/>
      <c r="H50" s="54"/>
    </row>
    <row r="51" spans="1:8" ht="15.75">
      <c r="A51" s="45"/>
      <c r="B51" s="260"/>
      <c r="C51" s="260"/>
      <c r="D51" s="260"/>
      <c r="E51" s="42"/>
      <c r="F51" s="42"/>
      <c r="G51" s="35"/>
      <c r="H51" s="54"/>
    </row>
    <row r="52" spans="1:8" ht="15.75">
      <c r="A52" s="45"/>
      <c r="B52" s="260"/>
      <c r="C52" s="260"/>
      <c r="D52" s="260"/>
      <c r="E52" s="42"/>
      <c r="F52" s="42"/>
      <c r="G52" s="35"/>
      <c r="H52" s="54"/>
    </row>
    <row r="53" spans="1:8" ht="15.75">
      <c r="A53" s="45"/>
      <c r="B53" s="46"/>
      <c r="C53" s="257"/>
      <c r="D53" s="257"/>
      <c r="E53" s="257"/>
      <c r="F53" s="47"/>
      <c r="G53" s="55"/>
      <c r="H53" s="48"/>
    </row>
    <row r="54" spans="1:8" ht="15.75">
      <c r="A54" s="81" t="s">
        <v>122</v>
      </c>
      <c r="B54" s="82"/>
      <c r="C54" s="83"/>
      <c r="D54" s="84"/>
      <c r="E54" s="85"/>
      <c r="F54" s="83"/>
      <c r="G54" s="83"/>
      <c r="H54" s="86"/>
    </row>
    <row r="55" spans="1:8" ht="15" customHeight="1">
      <c r="A55" s="305" t="s">
        <v>149</v>
      </c>
      <c r="B55" s="306"/>
      <c r="C55" s="306"/>
      <c r="D55" s="306"/>
      <c r="E55" s="306"/>
      <c r="F55" s="306"/>
      <c r="G55" s="306"/>
      <c r="H55" s="307"/>
    </row>
    <row r="56" spans="1:8" ht="15.75">
      <c r="A56" s="56"/>
      <c r="B56" s="40"/>
      <c r="C56" s="258"/>
      <c r="D56" s="258"/>
      <c r="E56" s="258"/>
      <c r="F56" s="58"/>
      <c r="G56" s="59"/>
      <c r="H56" s="60"/>
    </row>
    <row r="57" spans="1:8">
      <c r="A57" s="34"/>
      <c r="B57" s="36"/>
      <c r="C57" s="259"/>
      <c r="D57" s="38"/>
      <c r="E57" s="39"/>
      <c r="F57" s="259"/>
      <c r="G57" s="259"/>
      <c r="H57" s="259"/>
    </row>
  </sheetData>
  <mergeCells count="13">
    <mergeCell ref="C9:E9"/>
    <mergeCell ref="A21:C21"/>
    <mergeCell ref="A22:C22"/>
    <mergeCell ref="B40:C40"/>
    <mergeCell ref="A55:H55"/>
    <mergeCell ref="E11:F11"/>
    <mergeCell ref="E12:F12"/>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topLeftCell="A4" zoomScale="79" workbookViewId="0">
      <selection activeCell="A3" sqref="A3:H3"/>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32.25" customHeight="1">
      <c r="A7" s="68">
        <v>105</v>
      </c>
      <c r="B7" s="320" t="s">
        <v>60</v>
      </c>
      <c r="C7" s="320"/>
      <c r="D7" s="320"/>
      <c r="E7" s="320"/>
      <c r="F7" s="320"/>
      <c r="G7" s="320"/>
      <c r="H7" s="321"/>
    </row>
    <row r="8" spans="1:8" ht="15.75" customHeight="1">
      <c r="A8" s="69"/>
      <c r="B8" s="322"/>
      <c r="C8" s="323"/>
      <c r="D8" s="323"/>
      <c r="E8" s="323"/>
      <c r="F8" s="323"/>
      <c r="G8" s="70" t="s">
        <v>125</v>
      </c>
      <c r="H8" s="71" t="s">
        <v>249</v>
      </c>
    </row>
    <row r="9" spans="1:8">
      <c r="A9" s="45"/>
      <c r="B9" s="46"/>
      <c r="C9" s="308"/>
      <c r="D9" s="308"/>
      <c r="E9" s="308"/>
      <c r="F9" s="47"/>
      <c r="G9" s="61"/>
      <c r="H9" s="48"/>
    </row>
    <row r="10" spans="1:8" ht="15.75">
      <c r="A10" s="49" t="s">
        <v>113</v>
      </c>
      <c r="B10" s="46"/>
      <c r="C10" s="332" t="s">
        <v>154</v>
      </c>
      <c r="D10" s="332"/>
      <c r="E10" s="61"/>
      <c r="F10" s="47"/>
      <c r="G10" s="61"/>
      <c r="H10" s="48"/>
    </row>
    <row r="11" spans="1:8" ht="22.5">
      <c r="A11" s="45"/>
      <c r="B11" s="73" t="s">
        <v>114</v>
      </c>
      <c r="C11" s="73"/>
      <c r="D11" s="73" t="s">
        <v>130</v>
      </c>
      <c r="E11" s="156" t="s">
        <v>185</v>
      </c>
      <c r="F11" s="74" t="s">
        <v>183</v>
      </c>
      <c r="G11" s="74" t="s">
        <v>9</v>
      </c>
      <c r="H11" s="48"/>
    </row>
    <row r="12" spans="1:8">
      <c r="A12" s="72"/>
      <c r="B12" s="75" t="s">
        <v>129</v>
      </c>
      <c r="C12" s="76"/>
      <c r="D12" s="75"/>
      <c r="E12" s="77"/>
      <c r="F12" s="78"/>
      <c r="G12" s="78">
        <f>E23</f>
        <v>15.476550000000003</v>
      </c>
      <c r="H12" s="48"/>
    </row>
    <row r="13" spans="1:8" ht="15.75">
      <c r="A13" s="45"/>
      <c r="B13" s="87" t="s">
        <v>9</v>
      </c>
      <c r="C13" s="88"/>
      <c r="D13" s="88"/>
      <c r="E13" s="88"/>
      <c r="F13" s="88"/>
      <c r="G13" s="89">
        <f>G12</f>
        <v>15.476550000000003</v>
      </c>
      <c r="H13" s="48"/>
    </row>
    <row r="14" spans="1:8">
      <c r="A14" s="45"/>
      <c r="B14" s="42"/>
      <c r="C14" s="42"/>
      <c r="D14" s="42"/>
      <c r="E14" s="42"/>
      <c r="F14" s="42"/>
      <c r="G14" s="42"/>
      <c r="H14" s="48"/>
    </row>
    <row r="15" spans="1:8" ht="15.75">
      <c r="A15" s="50"/>
      <c r="B15" s="79" t="s">
        <v>117</v>
      </c>
      <c r="C15" s="80">
        <v>220</v>
      </c>
      <c r="D15" s="42"/>
      <c r="E15" s="42" t="s">
        <v>142</v>
      </c>
      <c r="F15" s="42"/>
      <c r="G15" s="42"/>
      <c r="H15" s="51"/>
    </row>
    <row r="16" spans="1:8" ht="15.75">
      <c r="A16" s="52"/>
      <c r="B16" s="79" t="s">
        <v>118</v>
      </c>
      <c r="C16" s="80">
        <f>33.21225+16.92</f>
        <v>50.132249999999999</v>
      </c>
      <c r="D16" s="43"/>
      <c r="E16" s="42" t="s">
        <v>265</v>
      </c>
      <c r="F16" s="42"/>
      <c r="G16" s="42"/>
      <c r="H16" s="51"/>
    </row>
    <row r="17" spans="1:8" ht="15.75">
      <c r="A17" s="52"/>
      <c r="B17" s="79" t="s">
        <v>119</v>
      </c>
      <c r="C17" s="80">
        <f>C15-C16</f>
        <v>169.86775</v>
      </c>
      <c r="D17" s="42"/>
      <c r="E17" s="42">
        <v>2.641896</v>
      </c>
      <c r="F17" s="42"/>
      <c r="G17" s="42"/>
      <c r="H17" s="51"/>
    </row>
    <row r="18" spans="1:8" ht="15.75">
      <c r="A18" s="63"/>
      <c r="B18" s="79" t="s">
        <v>120</v>
      </c>
      <c r="C18" s="80"/>
      <c r="D18" s="42"/>
      <c r="E18" s="42"/>
      <c r="F18" s="42"/>
      <c r="G18" s="42"/>
      <c r="H18" s="51"/>
    </row>
    <row r="19" spans="1:8" ht="15.75">
      <c r="A19" s="63"/>
      <c r="B19" s="79" t="s">
        <v>121</v>
      </c>
      <c r="C19" s="80">
        <f>ROUND(G12,2)</f>
        <v>15.48</v>
      </c>
      <c r="D19" s="42"/>
      <c r="E19" s="42"/>
      <c r="F19" s="42"/>
      <c r="G19" s="42"/>
      <c r="H19" s="51"/>
    </row>
    <row r="20" spans="1:8">
      <c r="A20" s="63"/>
      <c r="H20" s="51"/>
    </row>
    <row r="21" spans="1:8" ht="15.75">
      <c r="A21" s="63"/>
      <c r="B21" s="55"/>
      <c r="C21" s="196"/>
      <c r="D21" s="42"/>
      <c r="E21" s="42"/>
      <c r="F21" s="42"/>
      <c r="H21" s="51"/>
    </row>
    <row r="22" spans="1:8" ht="35.25" customHeight="1">
      <c r="A22" s="63"/>
      <c r="B22" s="333" t="s">
        <v>298</v>
      </c>
      <c r="C22" s="229" t="s">
        <v>266</v>
      </c>
      <c r="D22" s="230" t="s">
        <v>217</v>
      </c>
      <c r="E22" s="197" t="s">
        <v>300</v>
      </c>
      <c r="H22" s="51"/>
    </row>
    <row r="23" spans="1:8" ht="30.75" customHeight="1">
      <c r="A23" s="63"/>
      <c r="B23" s="333"/>
      <c r="C23" s="231">
        <f>'102'!F28</f>
        <v>2676.3672999999999</v>
      </c>
      <c r="D23" s="231">
        <f>TRUNC(C23*0.015*1.5,2)</f>
        <v>60.21</v>
      </c>
      <c r="E23" s="231">
        <f>D23-C16+E26+E27</f>
        <v>15.476550000000003</v>
      </c>
      <c r="H23" s="51"/>
    </row>
    <row r="24" spans="1:8">
      <c r="A24" s="63"/>
      <c r="H24" s="51"/>
    </row>
    <row r="25" spans="1:8" ht="15.75">
      <c r="A25" s="45"/>
      <c r="B25" s="53"/>
      <c r="C25" s="42"/>
      <c r="D25" s="42"/>
      <c r="E25" s="43"/>
      <c r="F25" s="42"/>
      <c r="G25" s="42"/>
      <c r="H25" s="51"/>
    </row>
    <row r="26" spans="1:8" ht="15.75">
      <c r="A26" s="45"/>
      <c r="B26" s="53" t="s">
        <v>296</v>
      </c>
      <c r="C26" s="196" t="s">
        <v>301</v>
      </c>
      <c r="D26" s="42"/>
      <c r="E26" s="42">
        <f>4*4*0.06</f>
        <v>0.96</v>
      </c>
      <c r="F26" s="42"/>
      <c r="G26" s="42"/>
      <c r="H26" s="51"/>
    </row>
    <row r="27" spans="1:8" ht="15.75">
      <c r="A27" s="45"/>
      <c r="B27" s="53" t="s">
        <v>302</v>
      </c>
      <c r="C27" s="196" t="s">
        <v>303</v>
      </c>
      <c r="D27" s="42"/>
      <c r="E27" s="42">
        <f>13.7*5.4*0.06</f>
        <v>4.4387999999999996</v>
      </c>
      <c r="G27" s="42"/>
      <c r="H27" s="51"/>
    </row>
    <row r="28" spans="1:8" ht="15.75">
      <c r="A28" s="45"/>
      <c r="B28" s="53"/>
      <c r="C28" s="196"/>
      <c r="D28" s="42"/>
      <c r="E28" s="42"/>
      <c r="F28" s="42"/>
      <c r="G28" s="42"/>
      <c r="H28" s="51"/>
    </row>
    <row r="29" spans="1:8">
      <c r="A29" s="45"/>
      <c r="G29" s="42"/>
      <c r="H29" s="51"/>
    </row>
    <row r="30" spans="1:8">
      <c r="A30" s="45"/>
      <c r="G30" s="42"/>
      <c r="H30" s="51"/>
    </row>
    <row r="31" spans="1:8">
      <c r="A31" s="45"/>
      <c r="G31" s="42"/>
      <c r="H31" s="51"/>
    </row>
    <row r="32" spans="1:8" ht="15.75">
      <c r="A32" s="45"/>
      <c r="B32" s="53"/>
      <c r="C32" s="42"/>
      <c r="D32" s="42"/>
      <c r="E32" s="42"/>
      <c r="F32" s="42"/>
      <c r="G32" s="42"/>
      <c r="H32" s="51"/>
    </row>
    <row r="33" spans="1:8" ht="15.75">
      <c r="A33" s="45"/>
      <c r="B33" s="53"/>
      <c r="C33" s="42"/>
      <c r="D33" s="331"/>
      <c r="E33" s="331"/>
      <c r="F33" s="331"/>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62"/>
      <c r="C43" s="62"/>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46"/>
      <c r="C47" s="61"/>
      <c r="D47" s="61"/>
      <c r="E47" s="61"/>
      <c r="F47" s="47"/>
      <c r="G47" s="55"/>
      <c r="H47" s="48"/>
    </row>
    <row r="48" spans="1:8" ht="15.75">
      <c r="A48" s="81" t="s">
        <v>122</v>
      </c>
      <c r="B48" s="82"/>
      <c r="C48" s="83"/>
      <c r="D48" s="84"/>
      <c r="E48" s="85"/>
      <c r="F48" s="83"/>
      <c r="G48" s="83"/>
      <c r="H48" s="86"/>
    </row>
    <row r="49" spans="1:8" ht="15" customHeight="1">
      <c r="A49" s="305" t="s">
        <v>131</v>
      </c>
      <c r="B49" s="306"/>
      <c r="C49" s="306"/>
      <c r="D49" s="306"/>
      <c r="E49" s="306"/>
      <c r="F49" s="306"/>
      <c r="G49" s="306"/>
      <c r="H49" s="307"/>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4"/>
  <sheetViews>
    <sheetView topLeftCell="A7" workbookViewId="0">
      <selection activeCell="A3" sqref="A3:H3"/>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32.25" customHeight="1">
      <c r="A7" s="68">
        <v>106</v>
      </c>
      <c r="B7" s="320" t="s">
        <v>136</v>
      </c>
      <c r="C7" s="320"/>
      <c r="D7" s="320"/>
      <c r="E7" s="320"/>
      <c r="F7" s="320"/>
      <c r="G7" s="320"/>
      <c r="H7" s="321"/>
    </row>
    <row r="8" spans="1:8" ht="15.75" customHeight="1">
      <c r="A8" s="69"/>
      <c r="B8" s="322"/>
      <c r="C8" s="323"/>
      <c r="D8" s="323"/>
      <c r="E8" s="323"/>
      <c r="F8" s="323"/>
      <c r="G8" s="70" t="s">
        <v>125</v>
      </c>
      <c r="H8" s="71" t="s">
        <v>206</v>
      </c>
    </row>
    <row r="9" spans="1:8">
      <c r="A9" s="45"/>
      <c r="B9" s="46"/>
      <c r="C9" s="308"/>
      <c r="D9" s="308"/>
      <c r="E9" s="308"/>
      <c r="F9" s="47"/>
      <c r="G9" s="61"/>
      <c r="H9" s="48"/>
    </row>
    <row r="10" spans="1:8" ht="15.75">
      <c r="A10" s="49" t="s">
        <v>113</v>
      </c>
      <c r="B10" s="46"/>
      <c r="C10" s="332" t="s">
        <v>155</v>
      </c>
      <c r="D10" s="332"/>
      <c r="E10" s="61"/>
      <c r="F10" s="47"/>
      <c r="G10" s="61"/>
      <c r="H10" s="48"/>
    </row>
    <row r="11" spans="1:8" ht="31.5">
      <c r="A11" s="45"/>
      <c r="B11" s="73" t="s">
        <v>114</v>
      </c>
      <c r="C11" s="73"/>
      <c r="D11" s="73" t="s">
        <v>130</v>
      </c>
      <c r="E11" s="74" t="s">
        <v>115</v>
      </c>
      <c r="F11" s="74" t="s">
        <v>168</v>
      </c>
      <c r="G11" s="74" t="s">
        <v>9</v>
      </c>
      <c r="H11" s="48"/>
    </row>
    <row r="12" spans="1:8">
      <c r="A12" s="72"/>
      <c r="B12" s="75" t="s">
        <v>132</v>
      </c>
      <c r="C12" s="76"/>
      <c r="D12" s="75"/>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287.10000000000002</v>
      </c>
      <c r="D15" s="197" t="s">
        <v>226</v>
      </c>
      <c r="E15" s="197" t="s">
        <v>235</v>
      </c>
      <c r="F15" s="197" t="s">
        <v>259</v>
      </c>
      <c r="G15" s="197" t="s">
        <v>267</v>
      </c>
      <c r="H15" s="51"/>
    </row>
    <row r="16" spans="1:8" ht="15.75">
      <c r="A16" s="52"/>
      <c r="B16" s="79" t="s">
        <v>118</v>
      </c>
      <c r="C16" s="80">
        <v>139.18</v>
      </c>
      <c r="D16" s="197">
        <v>92.63</v>
      </c>
      <c r="E16" s="197">
        <v>100.03</v>
      </c>
      <c r="F16" s="197">
        <v>115.58</v>
      </c>
      <c r="G16" s="197">
        <v>139.18</v>
      </c>
      <c r="H16" s="51"/>
    </row>
    <row r="17" spans="1:8" ht="15.75">
      <c r="A17" s="52"/>
      <c r="B17" s="79" t="s">
        <v>119</v>
      </c>
      <c r="C17" s="80">
        <f>C15-C16</f>
        <v>147.92000000000002</v>
      </c>
      <c r="D17" s="42"/>
      <c r="E17" s="42"/>
      <c r="F17" s="42"/>
      <c r="G17" s="42"/>
      <c r="H17" s="51"/>
    </row>
    <row r="18" spans="1:8" ht="15.75">
      <c r="A18" s="63"/>
      <c r="B18" s="79" t="s">
        <v>120</v>
      </c>
      <c r="C18" s="80"/>
      <c r="D18" s="42"/>
      <c r="E18" s="42"/>
      <c r="F18" s="42"/>
      <c r="G18" s="42"/>
      <c r="H18" s="51"/>
    </row>
    <row r="19" spans="1:8" ht="15.75">
      <c r="A19" s="63"/>
      <c r="B19" s="79" t="s">
        <v>121</v>
      </c>
      <c r="C19" s="80">
        <f>G13</f>
        <v>0</v>
      </c>
      <c r="D19" s="42"/>
      <c r="E19" s="42"/>
      <c r="F19" s="42"/>
      <c r="G19" s="42"/>
      <c r="H19" s="51"/>
    </row>
    <row r="20" spans="1:8">
      <c r="A20" s="63"/>
      <c r="H20" s="51"/>
    </row>
    <row r="21" spans="1:8" ht="16.5">
      <c r="A21" s="63"/>
      <c r="B21" s="334"/>
      <c r="C21" s="334"/>
      <c r="D21" s="334"/>
      <c r="E21" s="334"/>
      <c r="H21" s="51"/>
    </row>
    <row r="22" spans="1:8" ht="16.5">
      <c r="A22" s="63"/>
      <c r="B22" s="334"/>
      <c r="C22" s="334"/>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5" t="s">
        <v>135</v>
      </c>
      <c r="B52" s="306"/>
      <c r="C52" s="306"/>
      <c r="D52" s="306"/>
      <c r="E52" s="306"/>
      <c r="F52" s="306"/>
      <c r="G52" s="306"/>
      <c r="H52" s="307"/>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4"/>
  <sheetViews>
    <sheetView topLeftCell="A13" workbookViewId="0">
      <selection activeCell="A3" sqref="A3:H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32.25" customHeight="1">
      <c r="A7" s="68">
        <v>107</v>
      </c>
      <c r="B7" s="318" t="s">
        <v>133</v>
      </c>
      <c r="C7" s="318"/>
      <c r="D7" s="318"/>
      <c r="E7" s="318"/>
      <c r="F7" s="318"/>
      <c r="G7" s="318"/>
      <c r="H7" s="319"/>
    </row>
    <row r="8" spans="1:8" ht="15.75" customHeight="1">
      <c r="A8" s="69"/>
      <c r="B8" s="322"/>
      <c r="C8" s="323"/>
      <c r="D8" s="323"/>
      <c r="E8" s="323"/>
      <c r="F8" s="323"/>
      <c r="G8" s="70" t="s">
        <v>125</v>
      </c>
      <c r="H8" s="71" t="s">
        <v>126</v>
      </c>
    </row>
    <row r="9" spans="1:8">
      <c r="A9" s="129"/>
      <c r="B9" s="36"/>
      <c r="C9" s="340"/>
      <c r="D9" s="340"/>
      <c r="E9" s="340"/>
      <c r="F9" s="39"/>
      <c r="G9" s="37"/>
      <c r="H9" s="130"/>
    </row>
    <row r="10" spans="1:8" ht="15.75">
      <c r="A10" s="49" t="s">
        <v>113</v>
      </c>
      <c r="B10" s="46"/>
      <c r="C10" s="332" t="s">
        <v>155</v>
      </c>
      <c r="D10" s="332"/>
      <c r="E10" s="123"/>
      <c r="F10" s="47"/>
      <c r="G10" s="123"/>
      <c r="H10" s="48"/>
    </row>
    <row r="11" spans="1:8" ht="15.75">
      <c r="A11" s="45"/>
      <c r="B11" s="131" t="s">
        <v>114</v>
      </c>
      <c r="C11" s="131"/>
      <c r="D11" s="232" t="s">
        <v>271</v>
      </c>
      <c r="E11" s="132" t="s">
        <v>115</v>
      </c>
      <c r="F11" s="132" t="s">
        <v>116</v>
      </c>
      <c r="G11" s="132" t="s">
        <v>9</v>
      </c>
      <c r="H11" s="48"/>
    </row>
    <row r="12" spans="1:8">
      <c r="A12" s="72"/>
      <c r="B12" s="133" t="s">
        <v>134</v>
      </c>
      <c r="C12" s="134"/>
      <c r="D12" s="133"/>
      <c r="E12" s="135"/>
      <c r="F12" s="136"/>
      <c r="G12" s="136">
        <f>F12*E12*D12</f>
        <v>0</v>
      </c>
      <c r="H12" s="48"/>
    </row>
    <row r="13" spans="1:8" ht="15.75">
      <c r="A13" s="45"/>
      <c r="B13" s="137" t="s">
        <v>9</v>
      </c>
      <c r="C13" s="138"/>
      <c r="D13" s="138"/>
      <c r="E13" s="138"/>
      <c r="F13" s="338">
        <f>G12</f>
        <v>0</v>
      </c>
      <c r="G13" s="339"/>
      <c r="H13" s="48"/>
    </row>
    <row r="14" spans="1:8" ht="7.5" customHeight="1">
      <c r="A14" s="45"/>
      <c r="B14" s="42"/>
      <c r="C14" s="42"/>
      <c r="D14" s="42"/>
      <c r="E14" s="42"/>
      <c r="F14" s="42"/>
      <c r="G14" s="42"/>
      <c r="H14" s="48"/>
    </row>
    <row r="15" spans="1:8" ht="15.75">
      <c r="A15" s="50"/>
      <c r="B15" s="139" t="s">
        <v>117</v>
      </c>
      <c r="C15" s="140">
        <v>7000</v>
      </c>
      <c r="D15" s="42"/>
      <c r="E15" s="42"/>
      <c r="F15" s="42"/>
      <c r="G15" s="42"/>
      <c r="H15" s="51"/>
    </row>
    <row r="16" spans="1:8" ht="15.75">
      <c r="A16" s="52"/>
      <c r="B16" s="139" t="s">
        <v>118</v>
      </c>
      <c r="C16" s="140">
        <v>6174.1869999999999</v>
      </c>
      <c r="D16" s="42"/>
      <c r="E16" s="42"/>
      <c r="F16" s="42"/>
      <c r="G16" s="42"/>
      <c r="H16" s="51"/>
    </row>
    <row r="17" spans="1:8" ht="15.75">
      <c r="A17" s="52"/>
      <c r="B17" s="139" t="s">
        <v>119</v>
      </c>
      <c r="C17" s="140">
        <f>C15-C16</f>
        <v>825.8130000000001</v>
      </c>
      <c r="D17" s="42"/>
      <c r="E17" s="42"/>
      <c r="F17" s="42"/>
      <c r="G17" s="42"/>
      <c r="H17" s="51"/>
    </row>
    <row r="18" spans="1:8" ht="15.75">
      <c r="A18" s="125"/>
      <c r="B18" s="139" t="s">
        <v>120</v>
      </c>
      <c r="C18" s="140"/>
      <c r="D18" s="42"/>
      <c r="E18" s="42"/>
      <c r="F18" s="42"/>
      <c r="G18" s="42"/>
      <c r="H18" s="51"/>
    </row>
    <row r="19" spans="1:8" ht="15.75">
      <c r="A19" s="125"/>
      <c r="B19" s="139" t="s">
        <v>121</v>
      </c>
      <c r="C19" s="140">
        <f>F13</f>
        <v>0</v>
      </c>
      <c r="D19" s="42"/>
      <c r="E19" s="42"/>
      <c r="F19" s="42"/>
      <c r="G19" s="42"/>
      <c r="H19" s="51"/>
    </row>
    <row r="20" spans="1:8">
      <c r="A20" s="125"/>
      <c r="B20" s="141"/>
      <c r="C20" s="141"/>
      <c r="D20" s="141"/>
      <c r="E20" s="141"/>
      <c r="F20" s="141"/>
      <c r="G20" s="141"/>
      <c r="H20" s="51"/>
    </row>
    <row r="21" spans="1:8">
      <c r="A21" s="125"/>
      <c r="B21" s="141"/>
      <c r="C21" s="141"/>
      <c r="D21" s="141"/>
      <c r="E21" s="141"/>
      <c r="F21" s="141"/>
      <c r="G21" s="141"/>
      <c r="H21" s="51"/>
    </row>
    <row r="22" spans="1:8">
      <c r="A22" s="125"/>
      <c r="B22" s="141"/>
      <c r="C22" s="141"/>
      <c r="D22" s="141"/>
      <c r="E22" s="141"/>
      <c r="F22" s="141"/>
      <c r="G22" s="141"/>
      <c r="H22" s="51"/>
    </row>
    <row r="23" spans="1:8">
      <c r="A23" s="125"/>
      <c r="B23" s="141"/>
      <c r="C23" s="141"/>
      <c r="D23" s="141"/>
      <c r="E23" s="141"/>
      <c r="F23" s="141"/>
      <c r="G23" s="141"/>
      <c r="H23" s="51"/>
    </row>
    <row r="24" spans="1:8">
      <c r="A24" s="125"/>
      <c r="B24" s="141"/>
      <c r="C24" s="141"/>
      <c r="D24" s="141"/>
      <c r="E24" s="141"/>
      <c r="F24" s="141"/>
      <c r="G24" s="141"/>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F30" s="141"/>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41"/>
      <c r="C43" s="141"/>
      <c r="D43" s="124"/>
      <c r="E43" s="42"/>
      <c r="F43" s="42"/>
      <c r="G43" s="35"/>
      <c r="H43" s="54"/>
    </row>
    <row r="44" spans="1:8" ht="15.75" customHeight="1">
      <c r="A44" s="72"/>
      <c r="B44" s="42" t="s">
        <v>202</v>
      </c>
      <c r="C44" s="35"/>
      <c r="D44" s="141"/>
      <c r="E44" s="141"/>
      <c r="F44" s="141"/>
      <c r="G44" s="141"/>
      <c r="H44" s="54"/>
    </row>
    <row r="45" spans="1:8" ht="15.75">
      <c r="A45" s="72"/>
      <c r="B45" s="42" t="s">
        <v>201</v>
      </c>
      <c r="C45" s="124"/>
      <c r="D45" s="124"/>
      <c r="E45" s="42"/>
      <c r="F45" s="42"/>
      <c r="H45" s="54"/>
    </row>
    <row r="46" spans="1:8" ht="15.75">
      <c r="A46" s="45"/>
      <c r="B46" s="124" t="s">
        <v>203</v>
      </c>
      <c r="C46" s="124">
        <f>50.76*73.93</f>
        <v>3752.6868000000004</v>
      </c>
      <c r="D46" s="124" t="s">
        <v>126</v>
      </c>
      <c r="E46" s="42"/>
      <c r="F46" s="42"/>
      <c r="G46" s="35"/>
      <c r="H46" s="54"/>
    </row>
    <row r="47" spans="1:8" ht="15.75">
      <c r="A47" s="345" t="s">
        <v>257</v>
      </c>
      <c r="B47" s="346"/>
      <c r="C47" s="218" t="s">
        <v>256</v>
      </c>
      <c r="D47" s="124">
        <f>(7.14+2.47)*50</f>
        <v>480.5</v>
      </c>
      <c r="E47" s="341" t="s">
        <v>269</v>
      </c>
      <c r="F47" s="341"/>
      <c r="G47" s="341"/>
      <c r="H47" s="342"/>
    </row>
    <row r="48" spans="1:8" ht="15.75">
      <c r="A48" s="345" t="s">
        <v>268</v>
      </c>
      <c r="B48" s="346"/>
      <c r="C48" s="222" t="s">
        <v>270</v>
      </c>
      <c r="D48" s="124">
        <f>19.41*50*2</f>
        <v>1941</v>
      </c>
      <c r="E48" s="341"/>
      <c r="F48" s="341"/>
      <c r="G48" s="341"/>
      <c r="H48" s="342"/>
    </row>
    <row r="49" spans="1:8" ht="15.75">
      <c r="A49" s="45"/>
      <c r="B49" s="124"/>
      <c r="C49" s="124"/>
      <c r="D49" s="124"/>
      <c r="E49" s="341"/>
      <c r="F49" s="341"/>
      <c r="G49" s="341"/>
      <c r="H49" s="342"/>
    </row>
    <row r="50" spans="1:8" ht="15.75" customHeight="1">
      <c r="A50" s="45"/>
      <c r="B50" s="46"/>
      <c r="C50" s="123"/>
      <c r="D50" s="123"/>
      <c r="E50" s="343"/>
      <c r="F50" s="343"/>
      <c r="G50" s="343"/>
      <c r="H50" s="344"/>
    </row>
    <row r="51" spans="1:8" ht="15.75">
      <c r="A51" s="142" t="s">
        <v>122</v>
      </c>
      <c r="B51" s="36"/>
      <c r="C51" s="37"/>
      <c r="D51" s="38"/>
      <c r="E51" s="39"/>
      <c r="F51" s="37"/>
      <c r="G51" s="37"/>
      <c r="H51" s="130"/>
    </row>
    <row r="52" spans="1:8" ht="15" customHeight="1">
      <c r="A52" s="305" t="s">
        <v>135</v>
      </c>
      <c r="B52" s="306"/>
      <c r="C52" s="306"/>
      <c r="D52" s="306"/>
      <c r="E52" s="306"/>
      <c r="F52" s="306"/>
      <c r="G52" s="306"/>
      <c r="H52" s="307"/>
    </row>
    <row r="53" spans="1:8" ht="16.5">
      <c r="A53" s="335"/>
      <c r="B53" s="336"/>
      <c r="C53" s="336"/>
      <c r="D53" s="336"/>
      <c r="E53" s="336"/>
      <c r="F53" s="336"/>
      <c r="G53" s="336"/>
      <c r="H53" s="337"/>
    </row>
    <row r="54" spans="1:8">
      <c r="A54" s="34"/>
      <c r="B54" s="46"/>
      <c r="C54" s="123"/>
      <c r="D54" s="128"/>
      <c r="E54" s="47"/>
      <c r="F54" s="123"/>
      <c r="G54" s="123"/>
      <c r="H54" s="123"/>
    </row>
  </sheetData>
  <mergeCells count="15">
    <mergeCell ref="A53:H53"/>
    <mergeCell ref="F13:G13"/>
    <mergeCell ref="C9:E9"/>
    <mergeCell ref="C10:D10"/>
    <mergeCell ref="D36:F36"/>
    <mergeCell ref="A52:H52"/>
    <mergeCell ref="E47:H50"/>
    <mergeCell ref="A47:B47"/>
    <mergeCell ref="A48:B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4"/>
  <sheetViews>
    <sheetView topLeftCell="A10" workbookViewId="0">
      <selection activeCell="G13" sqref="G1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304</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33" customHeight="1">
      <c r="A7" s="68">
        <v>108</v>
      </c>
      <c r="B7" s="347" t="s">
        <v>63</v>
      </c>
      <c r="C7" s="347"/>
      <c r="D7" s="347"/>
      <c r="E7" s="347"/>
      <c r="F7" s="347"/>
      <c r="G7" s="347"/>
      <c r="H7" s="348"/>
    </row>
    <row r="8" spans="1:8" ht="15.75" customHeight="1">
      <c r="A8" s="69"/>
      <c r="B8" s="322"/>
      <c r="C8" s="323"/>
      <c r="D8" s="323"/>
      <c r="E8" s="323"/>
      <c r="F8" s="323"/>
      <c r="G8" s="70" t="s">
        <v>125</v>
      </c>
      <c r="H8" s="90" t="s">
        <v>137</v>
      </c>
    </row>
    <row r="9" spans="1:8">
      <c r="A9" s="45"/>
      <c r="B9" s="46"/>
      <c r="C9" s="308"/>
      <c r="D9" s="308"/>
      <c r="E9" s="308"/>
      <c r="F9" s="47"/>
      <c r="G9" s="61"/>
      <c r="H9" s="48"/>
    </row>
    <row r="10" spans="1:8" ht="15.75">
      <c r="A10" s="49" t="s">
        <v>113</v>
      </c>
      <c r="B10" s="46"/>
      <c r="C10" s="332" t="s">
        <v>156</v>
      </c>
      <c r="D10" s="332"/>
      <c r="E10" s="332"/>
      <c r="F10" s="47"/>
      <c r="G10" s="61"/>
      <c r="H10" s="48"/>
    </row>
    <row r="11" spans="1:8" ht="15.75">
      <c r="A11" s="45"/>
      <c r="B11" s="73" t="s">
        <v>114</v>
      </c>
      <c r="C11" s="73" t="s">
        <v>255</v>
      </c>
      <c r="D11" s="73" t="s">
        <v>130</v>
      </c>
      <c r="E11" s="74" t="s">
        <v>115</v>
      </c>
      <c r="F11" s="74" t="s">
        <v>116</v>
      </c>
      <c r="G11" s="74" t="s">
        <v>9</v>
      </c>
      <c r="H11" s="48"/>
    </row>
    <row r="12" spans="1:8">
      <c r="A12" s="72"/>
      <c r="B12" s="75" t="s">
        <v>151</v>
      </c>
      <c r="C12" s="76">
        <v>1</v>
      </c>
      <c r="D12" s="75"/>
      <c r="E12" s="77"/>
      <c r="F12" s="78">
        <v>6</v>
      </c>
      <c r="G12" s="78">
        <f>168.84*C12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f>
        <v>1181.8800000000001</v>
      </c>
      <c r="D16" s="42"/>
      <c r="E16" s="42"/>
      <c r="F16" s="42"/>
      <c r="G16" s="42"/>
      <c r="H16" s="51"/>
    </row>
    <row r="17" spans="1:8" ht="15.75">
      <c r="A17" s="52"/>
      <c r="B17" s="79" t="s">
        <v>119</v>
      </c>
      <c r="C17" s="80">
        <f>C15-C16</f>
        <v>18.119999999999891</v>
      </c>
      <c r="D17" s="42"/>
      <c r="E17" s="42"/>
      <c r="F17" s="127"/>
      <c r="G17" s="42"/>
      <c r="H17" s="51"/>
    </row>
    <row r="18" spans="1:8" ht="15.75">
      <c r="A18" s="63"/>
      <c r="B18" s="79" t="s">
        <v>120</v>
      </c>
      <c r="C18" s="80"/>
      <c r="D18" s="42"/>
      <c r="E18" s="127"/>
      <c r="F18" s="42"/>
      <c r="G18" s="42"/>
      <c r="H18" s="51"/>
    </row>
    <row r="19" spans="1:8" ht="15.75">
      <c r="A19" s="63"/>
      <c r="B19" s="79" t="s">
        <v>121</v>
      </c>
      <c r="C19" s="80">
        <f>G12</f>
        <v>168.84</v>
      </c>
      <c r="D19" s="42"/>
      <c r="E19" s="42"/>
      <c r="F19" s="42"/>
      <c r="G19" s="42"/>
      <c r="H19" s="51"/>
    </row>
    <row r="20" spans="1:8">
      <c r="A20" s="63"/>
      <c r="H20" s="51"/>
    </row>
    <row r="21" spans="1:8" ht="15.75">
      <c r="A21" s="63"/>
      <c r="B21" s="143" t="s">
        <v>169</v>
      </c>
      <c r="H21" s="51"/>
    </row>
    <row r="22" spans="1:8">
      <c r="A22" s="125"/>
      <c r="B22" s="46"/>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5" t="s">
        <v>135</v>
      </c>
      <c r="B52" s="306"/>
      <c r="C52" s="306"/>
      <c r="D52" s="306"/>
      <c r="E52" s="306"/>
      <c r="F52" s="306"/>
      <c r="G52" s="306"/>
      <c r="H52" s="307"/>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4"/>
  <sheetViews>
    <sheetView workbookViewId="0">
      <selection activeCell="C17" sqref="C1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305</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49.5" customHeight="1">
      <c r="A7" s="68">
        <v>109</v>
      </c>
      <c r="B7" s="323" t="s">
        <v>64</v>
      </c>
      <c r="C7" s="323"/>
      <c r="D7" s="323"/>
      <c r="E7" s="323"/>
      <c r="F7" s="323"/>
      <c r="G7" s="323"/>
      <c r="H7" s="349"/>
    </row>
    <row r="8" spans="1:8" ht="15.75" customHeight="1">
      <c r="A8" s="69"/>
      <c r="B8" s="322"/>
      <c r="C8" s="323"/>
      <c r="D8" s="323"/>
      <c r="E8" s="323"/>
      <c r="F8" s="323"/>
      <c r="G8" s="70" t="s">
        <v>125</v>
      </c>
      <c r="H8" s="90" t="s">
        <v>206</v>
      </c>
    </row>
    <row r="9" spans="1:8">
      <c r="A9" s="45"/>
      <c r="B9" s="46"/>
      <c r="C9" s="308"/>
      <c r="D9" s="308"/>
      <c r="E9" s="308"/>
      <c r="F9" s="47"/>
      <c r="G9" s="61"/>
      <c r="H9" s="48"/>
    </row>
    <row r="10" spans="1:8" ht="15.75">
      <c r="A10" s="49" t="s">
        <v>113</v>
      </c>
      <c r="B10" s="46"/>
      <c r="C10" s="332" t="s">
        <v>157</v>
      </c>
      <c r="D10" s="332"/>
      <c r="E10" s="61"/>
      <c r="F10" s="47"/>
      <c r="G10" s="61"/>
      <c r="H10" s="48"/>
    </row>
    <row r="11" spans="1:8" ht="15.75">
      <c r="A11" s="45"/>
      <c r="B11" s="73" t="s">
        <v>114</v>
      </c>
      <c r="C11" s="73" t="s">
        <v>255</v>
      </c>
      <c r="D11" s="73" t="s">
        <v>130</v>
      </c>
      <c r="E11" s="74" t="s">
        <v>115</v>
      </c>
      <c r="F11" s="74" t="s">
        <v>116</v>
      </c>
      <c r="G11" s="74" t="s">
        <v>9</v>
      </c>
      <c r="H11" s="48"/>
    </row>
    <row r="12" spans="1:8">
      <c r="A12" s="72"/>
      <c r="B12" s="75" t="s">
        <v>150</v>
      </c>
      <c r="C12" s="76">
        <v>1</v>
      </c>
      <c r="D12" s="75"/>
      <c r="E12" s="77"/>
      <c r="F12" s="78">
        <v>6</v>
      </c>
      <c r="G12" s="78">
        <f>168.84*C12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f>
        <v>1181.8800000000001</v>
      </c>
      <c r="D16" s="42"/>
      <c r="E16" s="42"/>
      <c r="F16" s="42"/>
      <c r="G16" s="42"/>
      <c r="H16" s="51"/>
    </row>
    <row r="17" spans="1:8" ht="15.75">
      <c r="A17" s="52"/>
      <c r="B17" s="79" t="s">
        <v>119</v>
      </c>
      <c r="C17" s="272">
        <f>C15-C16</f>
        <v>18.119999999999891</v>
      </c>
      <c r="D17" s="42"/>
      <c r="E17" s="42"/>
      <c r="F17" s="42"/>
      <c r="G17" s="42"/>
      <c r="H17" s="51"/>
    </row>
    <row r="18" spans="1:8" ht="15.75">
      <c r="A18" s="63"/>
      <c r="B18" s="79" t="s">
        <v>120</v>
      </c>
      <c r="C18" s="80"/>
      <c r="D18" s="42"/>
      <c r="E18" s="42"/>
      <c r="F18" s="42"/>
      <c r="G18" s="42"/>
      <c r="H18" s="51"/>
    </row>
    <row r="19" spans="1:8" ht="15.75">
      <c r="A19" s="63"/>
      <c r="B19" s="79" t="s">
        <v>121</v>
      </c>
      <c r="C19" s="80">
        <f>G12</f>
        <v>168.84</v>
      </c>
      <c r="D19" s="42"/>
      <c r="E19" s="42"/>
      <c r="F19" s="42"/>
      <c r="G19" s="42"/>
      <c r="H19" s="51"/>
    </row>
    <row r="20" spans="1:8" ht="15.75">
      <c r="A20" s="63"/>
      <c r="B20" s="53" t="s">
        <v>169</v>
      </c>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5" t="s">
        <v>135</v>
      </c>
      <c r="B52" s="306"/>
      <c r="C52" s="306"/>
      <c r="D52" s="306"/>
      <c r="E52" s="306"/>
      <c r="F52" s="306"/>
      <c r="G52" s="306"/>
      <c r="H52" s="307"/>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4"/>
  <sheetViews>
    <sheetView topLeftCell="A28" workbookViewId="0">
      <selection activeCell="E49" sqref="E49"/>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09" t="s">
        <v>306</v>
      </c>
      <c r="B2" s="310"/>
      <c r="C2" s="310"/>
      <c r="D2" s="310"/>
      <c r="E2" s="310"/>
      <c r="F2" s="310"/>
      <c r="G2" s="310"/>
      <c r="H2" s="311"/>
    </row>
    <row r="3" spans="1:8">
      <c r="A3" s="312" t="s">
        <v>123</v>
      </c>
      <c r="B3" s="313"/>
      <c r="C3" s="313"/>
      <c r="D3" s="313"/>
      <c r="E3" s="313"/>
      <c r="F3" s="313"/>
      <c r="G3" s="313"/>
      <c r="H3" s="314"/>
    </row>
    <row r="4" spans="1:8">
      <c r="A4" s="315" t="s">
        <v>305</v>
      </c>
      <c r="B4" s="316"/>
      <c r="C4" s="316"/>
      <c r="D4" s="316"/>
      <c r="E4" s="316"/>
      <c r="F4" s="316"/>
      <c r="G4" s="316"/>
      <c r="H4" s="317"/>
    </row>
    <row r="5" spans="1:8">
      <c r="A5" s="41"/>
      <c r="B5" s="42"/>
      <c r="C5" s="43"/>
      <c r="D5" s="43"/>
      <c r="E5" s="33"/>
      <c r="F5" s="43"/>
      <c r="G5" s="43"/>
      <c r="H5" s="44"/>
    </row>
    <row r="6" spans="1:8">
      <c r="A6" s="67">
        <v>1</v>
      </c>
      <c r="B6" s="318" t="s">
        <v>124</v>
      </c>
      <c r="C6" s="318"/>
      <c r="D6" s="318"/>
      <c r="E6" s="318"/>
      <c r="F6" s="318"/>
      <c r="G6" s="318"/>
      <c r="H6" s="319"/>
    </row>
    <row r="7" spans="1:8" ht="49.5" customHeight="1">
      <c r="A7" s="68">
        <v>110</v>
      </c>
      <c r="B7" s="350" t="s">
        <v>65</v>
      </c>
      <c r="C7" s="350"/>
      <c r="D7" s="350"/>
      <c r="E7" s="350"/>
      <c r="F7" s="350"/>
      <c r="G7" s="350"/>
      <c r="H7" s="351"/>
    </row>
    <row r="8" spans="1:8" ht="15.75" customHeight="1">
      <c r="A8" s="69"/>
      <c r="B8" s="322"/>
      <c r="C8" s="323"/>
      <c r="D8" s="323"/>
      <c r="E8" s="323"/>
      <c r="F8" s="323"/>
      <c r="G8" s="70" t="s">
        <v>125</v>
      </c>
      <c r="H8" s="90" t="s">
        <v>8</v>
      </c>
    </row>
    <row r="9" spans="1:8">
      <c r="A9" s="45"/>
      <c r="B9" s="46"/>
      <c r="C9" s="308"/>
      <c r="D9" s="308"/>
      <c r="E9" s="308"/>
      <c r="F9" s="47"/>
      <c r="G9" s="185"/>
      <c r="H9" s="48"/>
    </row>
    <row r="10" spans="1:8" ht="15.75">
      <c r="A10" s="49" t="s">
        <v>113</v>
      </c>
      <c r="B10" s="46"/>
      <c r="C10" s="332" t="s">
        <v>237</v>
      </c>
      <c r="D10" s="332"/>
      <c r="E10" s="185"/>
      <c r="F10" s="47"/>
      <c r="G10" s="185"/>
      <c r="H10" s="48"/>
    </row>
    <row r="11" spans="1:8" ht="15.75">
      <c r="A11" s="45"/>
      <c r="B11" s="73" t="s">
        <v>114</v>
      </c>
      <c r="C11" s="73"/>
      <c r="D11" s="73" t="s">
        <v>130</v>
      </c>
      <c r="E11" s="74" t="s">
        <v>115</v>
      </c>
      <c r="F11" s="74" t="s">
        <v>116</v>
      </c>
      <c r="G11" s="74" t="s">
        <v>9</v>
      </c>
      <c r="H11" s="48"/>
    </row>
    <row r="12" spans="1:8">
      <c r="A12" s="72"/>
      <c r="B12" s="188" t="s">
        <v>227</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8" ht="15.75">
      <c r="A17" s="52"/>
      <c r="B17" s="79" t="s">
        <v>119</v>
      </c>
      <c r="C17" s="80">
        <f>C15-C16</f>
        <v>0</v>
      </c>
      <c r="D17" s="42"/>
      <c r="E17" s="42"/>
      <c r="F17" s="42"/>
      <c r="G17" s="42"/>
      <c r="H17" s="51"/>
    </row>
    <row r="18" spans="1:8" ht="15.75">
      <c r="A18" s="184"/>
      <c r="B18" s="79" t="s">
        <v>120</v>
      </c>
      <c r="C18" s="80"/>
      <c r="D18" s="42"/>
      <c r="E18" s="42"/>
      <c r="F18" s="42"/>
      <c r="G18" s="42"/>
      <c r="H18" s="51"/>
    </row>
    <row r="19" spans="1:8" ht="15.75">
      <c r="A19" s="184"/>
      <c r="B19" s="79" t="s">
        <v>121</v>
      </c>
      <c r="C19" s="80">
        <f>G12</f>
        <v>0</v>
      </c>
      <c r="D19" s="42"/>
      <c r="E19" s="42"/>
      <c r="F19" s="42"/>
      <c r="G19" s="42"/>
      <c r="H19" s="51"/>
    </row>
    <row r="20" spans="1:8" ht="15.75">
      <c r="A20" s="184"/>
      <c r="B20" s="53"/>
      <c r="H20" s="51"/>
    </row>
    <row r="21" spans="1:8">
      <c r="A21" s="184"/>
      <c r="H21" s="51"/>
    </row>
    <row r="22" spans="1:8">
      <c r="A22" s="184"/>
      <c r="H22" s="51"/>
    </row>
    <row r="23" spans="1:8">
      <c r="A23" s="184"/>
      <c r="H23" s="51"/>
    </row>
    <row r="24" spans="1:8">
      <c r="A24" s="184"/>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31"/>
      <c r="E36" s="331"/>
      <c r="F36" s="331"/>
      <c r="G36" s="124"/>
      <c r="H36" s="51"/>
    </row>
    <row r="37" spans="1:8" ht="15.75">
      <c r="A37" s="45"/>
      <c r="B37" s="352"/>
      <c r="C37" s="352"/>
      <c r="D37" s="352"/>
      <c r="E37" s="352"/>
      <c r="F37" s="352"/>
      <c r="G37" s="352"/>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33" t="s">
        <v>272</v>
      </c>
      <c r="C40" s="169" t="s">
        <v>273</v>
      </c>
      <c r="D40" s="234" t="s">
        <v>274</v>
      </c>
      <c r="E40" s="42"/>
      <c r="F40" s="42"/>
      <c r="G40" s="35"/>
      <c r="H40" s="54"/>
    </row>
    <row r="41" spans="1:8" ht="15.75">
      <c r="A41" s="45"/>
      <c r="B41" s="170">
        <v>1.5</v>
      </c>
      <c r="C41" s="224">
        <v>4</v>
      </c>
      <c r="D41" s="183">
        <f>B41*C41</f>
        <v>6</v>
      </c>
      <c r="E41" s="42"/>
      <c r="F41" s="42"/>
      <c r="G41" s="35"/>
      <c r="H41" s="54"/>
    </row>
    <row r="42" spans="1:8" ht="15.75">
      <c r="A42" s="45"/>
      <c r="B42" s="170">
        <v>1</v>
      </c>
      <c r="C42" s="224">
        <v>2</v>
      </c>
      <c r="D42" s="183">
        <f t="shared" ref="D42:D47" si="0">B42*C42</f>
        <v>2</v>
      </c>
      <c r="E42" s="42"/>
      <c r="F42" s="42"/>
      <c r="G42" s="35"/>
      <c r="H42" s="54"/>
    </row>
    <row r="43" spans="1:8" ht="15.75">
      <c r="A43" s="45"/>
      <c r="B43" s="170">
        <v>2</v>
      </c>
      <c r="C43" s="224">
        <v>2</v>
      </c>
      <c r="D43" s="183">
        <f t="shared" si="0"/>
        <v>4</v>
      </c>
      <c r="E43" s="42"/>
      <c r="F43" s="42"/>
      <c r="G43" s="35"/>
      <c r="H43" s="54"/>
    </row>
    <row r="44" spans="1:8" ht="15.75">
      <c r="A44" s="45"/>
      <c r="B44" s="170">
        <v>2.5</v>
      </c>
      <c r="C44" s="224">
        <v>2</v>
      </c>
      <c r="D44" s="183">
        <f t="shared" si="0"/>
        <v>5</v>
      </c>
      <c r="E44" s="42"/>
      <c r="F44" s="42"/>
      <c r="G44" s="35"/>
      <c r="H44" s="54"/>
    </row>
    <row r="45" spans="1:8" ht="15.75">
      <c r="A45" s="45"/>
      <c r="B45" s="170">
        <v>3</v>
      </c>
      <c r="C45" s="224">
        <v>2</v>
      </c>
      <c r="D45" s="183">
        <f t="shared" si="0"/>
        <v>6</v>
      </c>
      <c r="E45" s="235"/>
      <c r="F45" s="196"/>
      <c r="G45" s="35"/>
      <c r="H45" s="54"/>
    </row>
    <row r="46" spans="1:8" ht="15.75">
      <c r="A46" s="45"/>
      <c r="B46" s="170">
        <v>5</v>
      </c>
      <c r="C46" s="224">
        <v>1</v>
      </c>
      <c r="D46" s="183">
        <f t="shared" si="0"/>
        <v>5</v>
      </c>
      <c r="E46" s="235"/>
      <c r="F46" s="196"/>
      <c r="G46" s="35"/>
      <c r="H46" s="54"/>
    </row>
    <row r="47" spans="1:8" ht="15.75">
      <c r="A47" s="45"/>
      <c r="B47" s="170">
        <v>6</v>
      </c>
      <c r="C47" s="224">
        <v>3</v>
      </c>
      <c r="D47" s="183">
        <f t="shared" si="0"/>
        <v>18</v>
      </c>
      <c r="E47" s="235"/>
      <c r="F47" s="42"/>
      <c r="G47" s="35"/>
      <c r="H47" s="54"/>
    </row>
    <row r="48" spans="1:8" ht="15.75">
      <c r="A48" s="45"/>
      <c r="B48" s="169"/>
      <c r="C48" s="224" t="s">
        <v>240</v>
      </c>
      <c r="D48" s="183">
        <f>SUM(D41:D47)</f>
        <v>46</v>
      </c>
      <c r="E48" s="42"/>
      <c r="F48" s="42"/>
      <c r="G48" s="35"/>
      <c r="H48" s="54"/>
    </row>
    <row r="49" spans="1:8" ht="15.75">
      <c r="A49" s="45"/>
      <c r="B49" s="324" t="s">
        <v>275</v>
      </c>
      <c r="C49" s="326"/>
      <c r="D49" s="183">
        <f>D48/3</f>
        <v>15.333333333333334</v>
      </c>
      <c r="E49" s="273" t="s">
        <v>307</v>
      </c>
      <c r="F49" s="42"/>
      <c r="G49" s="35"/>
      <c r="H49" s="54"/>
    </row>
    <row r="50" spans="1:8" ht="15.75">
      <c r="A50" s="45"/>
      <c r="B50" s="46"/>
      <c r="C50" s="185"/>
      <c r="D50" s="185"/>
      <c r="E50" s="185"/>
      <c r="F50" s="47"/>
      <c r="G50" s="55"/>
      <c r="H50" s="48"/>
    </row>
    <row r="51" spans="1:8" ht="15.75">
      <c r="A51" s="81" t="s">
        <v>122</v>
      </c>
      <c r="B51" s="82"/>
      <c r="C51" s="83"/>
      <c r="D51" s="84"/>
      <c r="E51" s="85"/>
      <c r="F51" s="83"/>
      <c r="G51" s="83"/>
      <c r="H51" s="86"/>
    </row>
    <row r="52" spans="1:8" ht="15" customHeight="1">
      <c r="A52" s="305" t="s">
        <v>236</v>
      </c>
      <c r="B52" s="306"/>
      <c r="C52" s="306"/>
      <c r="D52" s="306"/>
      <c r="E52" s="306"/>
      <c r="F52" s="306"/>
      <c r="G52" s="306"/>
      <c r="H52" s="307"/>
    </row>
    <row r="53" spans="1:8" ht="15.75">
      <c r="A53" s="56"/>
      <c r="B53" s="40"/>
      <c r="C53" s="186"/>
      <c r="D53" s="186"/>
      <c r="E53" s="186"/>
      <c r="F53" s="58"/>
      <c r="G53" s="59"/>
      <c r="H53" s="60"/>
    </row>
    <row r="54" spans="1:8">
      <c r="A54" s="34"/>
      <c r="B54" s="36"/>
      <c r="C54" s="187"/>
      <c r="D54" s="38"/>
      <c r="E54" s="39"/>
      <c r="F54" s="187"/>
      <c r="G54" s="187"/>
      <c r="H54" s="187"/>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3</vt:i4>
      </vt:variant>
    </vt:vector>
  </HeadingPairs>
  <TitlesOfParts>
    <vt:vector size="22" baseType="lpstr">
      <vt:lpstr>BM07</vt:lpstr>
      <vt:lpstr>102</vt:lpstr>
      <vt:lpstr>103</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'BM07'!Area_de_impressao</vt:lpstr>
      <vt:lpstr>'COMPOSIÇÃO DO BDI EQUIPAMENTO'!Area_de_impressao</vt:lpstr>
      <vt:lpstr>'BM07'!Titulos_de_impressao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2022-03-31T20:12:40Z</cp:lastPrinted>
  <dcterms:created xsi:type="dcterms:W3CDTF">2018-07-31T01:21:33Z</dcterms:created>
  <dcterms:modified xsi:type="dcterms:W3CDTF">2022-05-20T15:37:21Z</dcterms:modified>
</cp:coreProperties>
</file>