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activeTab="7"/>
  </bookViews>
  <sheets>
    <sheet name="BM05" sheetId="15" r:id="rId1"/>
    <sheet name="102" sheetId="22" r:id="rId2"/>
    <sheet name="105" sheetId="23" r:id="rId3"/>
    <sheet name="106" sheetId="24" r:id="rId4"/>
    <sheet name="107" sheetId="25" r:id="rId5"/>
    <sheet name="108" sheetId="26" r:id="rId6"/>
    <sheet name="109" sheetId="27" r:id="rId7"/>
    <sheet name="110" sheetId="39" r:id="rId8"/>
    <sheet name="111" sheetId="36" r:id="rId9"/>
    <sheet name="112" sheetId="29" r:id="rId10"/>
    <sheet name="114" sheetId="30" r:id="rId11"/>
    <sheet name="115" sheetId="31" r:id="rId12"/>
    <sheet name="201" sheetId="33" r:id="rId13"/>
    <sheet name="202" sheetId="34" r:id="rId14"/>
    <sheet name="203" sheetId="35" r:id="rId15"/>
    <sheet name="204" sheetId="38" r:id="rId16"/>
    <sheet name="205" sheetId="37" r:id="rId17"/>
    <sheet name="COMPOSIÇÃO DO BDI EQUIPAMENTO" sheetId="20" state="hidden" r:id="rId18"/>
  </sheets>
  <externalReferences>
    <externalReference r:id="rId19"/>
    <externalReference r:id="rId20"/>
  </externalReferences>
  <definedNames>
    <definedName name="_xlnm.Print_Area" localSheetId="0">'BM05'!$A$1:$Y$59</definedName>
    <definedName name="_xlnm.Print_Area" localSheetId="17">'COMPOSIÇÃO DO BDI EQUIPAMENTO'!$A$1:$E$52</definedName>
    <definedName name="SABRIL2017">'[1]SERVIÇOS ABRIL 2017'!$A$3:$E$6145</definedName>
    <definedName name="_xlnm.Print_Titles" localSheetId="0">'BM05'!$1:$9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5"/>
  <c r="G12"/>
  <c r="F25"/>
  <c r="F24"/>
  <c r="F23"/>
  <c r="F22"/>
  <c r="R25" i="15"/>
  <c r="C16" i="30"/>
  <c r="C16" i="38"/>
  <c r="R31" i="15"/>
  <c r="C30" i="38"/>
  <c r="F24" s="1"/>
  <c r="G24" s="1"/>
  <c r="R29" i="15"/>
  <c r="C19" i="34"/>
  <c r="G13"/>
  <c r="G12"/>
  <c r="G24"/>
  <c r="C35"/>
  <c r="F25" s="1"/>
  <c r="G25" s="1"/>
  <c r="R28" i="15"/>
  <c r="C16" i="33"/>
  <c r="G12"/>
  <c r="G25"/>
  <c r="C36"/>
  <c r="F26" s="1"/>
  <c r="G26" s="1"/>
  <c r="C16" i="26"/>
  <c r="G12"/>
  <c r="R17" i="15"/>
  <c r="G12" i="24"/>
  <c r="B34" i="22"/>
  <c r="R13" i="15"/>
  <c r="R18" l="1"/>
  <c r="C16" i="25"/>
  <c r="E12"/>
  <c r="D47"/>
  <c r="AA32" i="15"/>
  <c r="AA31"/>
  <c r="AA29"/>
  <c r="AA28"/>
  <c r="AA27" s="1"/>
  <c r="AA13"/>
  <c r="G12" i="30"/>
  <c r="G12" i="27"/>
  <c r="C16"/>
  <c r="G24" i="37" l="1"/>
  <c r="C16" i="34"/>
  <c r="C27" i="37"/>
  <c r="C25"/>
  <c r="C16" i="36"/>
  <c r="F27" i="29"/>
  <c r="F25"/>
  <c r="F26"/>
  <c r="C26" i="37" l="1"/>
  <c r="C24"/>
  <c r="G12" i="38"/>
  <c r="C28" i="37" l="1"/>
  <c r="F24" i="29" l="1"/>
  <c r="F23"/>
  <c r="F22"/>
  <c r="F25" i="22" l="1"/>
  <c r="B36" l="1"/>
  <c r="F16" s="1"/>
  <c r="E26" l="1"/>
  <c r="F26" s="1"/>
  <c r="G12" s="1"/>
  <c r="C32" i="23"/>
  <c r="C33" s="1"/>
  <c r="G55" i="15" l="1"/>
  <c r="G54"/>
  <c r="G53"/>
  <c r="G52"/>
  <c r="G51"/>
  <c r="G50"/>
  <c r="G49"/>
  <c r="G48"/>
  <c r="G47"/>
  <c r="G45"/>
  <c r="G44"/>
  <c r="G43"/>
  <c r="G42"/>
  <c r="G41"/>
  <c r="G40"/>
  <c r="G38"/>
  <c r="G37"/>
  <c r="G36"/>
  <c r="G35"/>
  <c r="G34"/>
  <c r="G33"/>
  <c r="G29"/>
  <c r="G28"/>
  <c r="G14"/>
  <c r="G15"/>
  <c r="G17"/>
  <c r="G18"/>
  <c r="G21"/>
  <c r="G22"/>
  <c r="G23"/>
  <c r="G24"/>
  <c r="G25"/>
  <c r="G26"/>
  <c r="G12"/>
  <c r="C17" i="39" l="1"/>
  <c r="C19"/>
  <c r="I48" i="15"/>
  <c r="I49"/>
  <c r="I50"/>
  <c r="I51"/>
  <c r="I52"/>
  <c r="I53"/>
  <c r="I54"/>
  <c r="I55"/>
  <c r="I40"/>
  <c r="I41"/>
  <c r="I42"/>
  <c r="I43"/>
  <c r="I44"/>
  <c r="I45"/>
  <c r="I36"/>
  <c r="I37"/>
  <c r="I38"/>
  <c r="I33"/>
  <c r="I34"/>
  <c r="I35"/>
  <c r="I14"/>
  <c r="I15"/>
  <c r="I18"/>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K18"/>
  <c r="M18"/>
  <c r="M34"/>
  <c r="K34"/>
  <c r="K36"/>
  <c r="M36"/>
  <c r="M42"/>
  <c r="K42"/>
  <c r="M54"/>
  <c r="K54"/>
  <c r="M50"/>
  <c r="K50"/>
  <c r="J24"/>
  <c r="J15"/>
  <c r="J33"/>
  <c r="J45"/>
  <c r="J41"/>
  <c r="L41"/>
  <c r="J53"/>
  <c r="J49"/>
  <c r="J12"/>
  <c r="J14"/>
  <c r="J38"/>
  <c r="J44"/>
  <c r="J40"/>
  <c r="J52"/>
  <c r="J48"/>
  <c r="J26"/>
  <c r="J35"/>
  <c r="J37"/>
  <c r="J43"/>
  <c r="J55"/>
  <c r="J51"/>
  <c r="J34"/>
  <c r="J36"/>
  <c r="J42"/>
  <c r="J54"/>
  <c r="J50"/>
  <c r="J18"/>
  <c r="J25"/>
  <c r="J23"/>
  <c r="J21"/>
  <c r="G13" i="39"/>
  <c r="I17" i="15"/>
  <c r="M17" l="1"/>
  <c r="K17"/>
  <c r="J17"/>
  <c r="H55"/>
  <c r="H54"/>
  <c r="H53"/>
  <c r="H52"/>
  <c r="H51"/>
  <c r="H50"/>
  <c r="H49"/>
  <c r="H48"/>
  <c r="H47"/>
  <c r="H45"/>
  <c r="H44"/>
  <c r="H43"/>
  <c r="H42"/>
  <c r="H41"/>
  <c r="H40"/>
  <c r="H38"/>
  <c r="H37"/>
  <c r="H36"/>
  <c r="H35"/>
  <c r="H34"/>
  <c r="H33"/>
  <c r="E30" i="23"/>
  <c r="C19" i="38" l="1"/>
  <c r="G31" i="15" s="1"/>
  <c r="C17" i="36"/>
  <c r="C19"/>
  <c r="I22" i="15" s="1"/>
  <c r="C46" i="25"/>
  <c r="E27" i="23"/>
  <c r="C27"/>
  <c r="C15" i="34"/>
  <c r="C15" i="33"/>
  <c r="C19"/>
  <c r="M22" i="15" l="1"/>
  <c r="K22"/>
  <c r="J22"/>
  <c r="H29"/>
  <c r="I29"/>
  <c r="H31"/>
  <c r="I31"/>
  <c r="H28"/>
  <c r="I28"/>
  <c r="G13" i="38"/>
  <c r="C17" s="1"/>
  <c r="G13" i="36"/>
  <c r="C19" i="35"/>
  <c r="R30" i="15" s="1"/>
  <c r="G13" i="35"/>
  <c r="C17"/>
  <c r="G13" i="33"/>
  <c r="K31" i="15" l="1"/>
  <c r="M31"/>
  <c r="M28"/>
  <c r="K28"/>
  <c r="L28" s="1"/>
  <c r="M29"/>
  <c r="K29"/>
  <c r="G30"/>
  <c r="H30" s="1"/>
  <c r="I30"/>
  <c r="AC29"/>
  <c r="Z29"/>
  <c r="Z28"/>
  <c r="Z31"/>
  <c r="AC31"/>
  <c r="J31"/>
  <c r="L29"/>
  <c r="J29"/>
  <c r="J28"/>
  <c r="C17" i="33"/>
  <c r="C17" i="34"/>
  <c r="L55" i="15"/>
  <c r="L53"/>
  <c r="L51"/>
  <c r="L50"/>
  <c r="L49"/>
  <c r="L45"/>
  <c r="L42"/>
  <c r="L36"/>
  <c r="L35"/>
  <c r="L33"/>
  <c r="C19" i="26"/>
  <c r="L54" i="15"/>
  <c r="L52"/>
  <c r="L48"/>
  <c r="I47"/>
  <c r="L44"/>
  <c r="L43"/>
  <c r="L40"/>
  <c r="L38"/>
  <c r="L37"/>
  <c r="L34"/>
  <c r="G12" i="31"/>
  <c r="C19" s="1"/>
  <c r="G13" i="27"/>
  <c r="C17" s="1"/>
  <c r="G12" i="25"/>
  <c r="K30" i="15" l="1"/>
  <c r="L30" s="1"/>
  <c r="M30"/>
  <c r="M47"/>
  <c r="K47"/>
  <c r="L47" s="1"/>
  <c r="J47"/>
  <c r="J46" s="1"/>
  <c r="J30"/>
  <c r="R19"/>
  <c r="G19" s="1"/>
  <c r="C17" i="25"/>
  <c r="F13"/>
  <c r="C19" s="1"/>
  <c r="L31" i="15"/>
  <c r="G13" i="31"/>
  <c r="C17" s="1"/>
  <c r="G13" i="24"/>
  <c r="C19" s="1"/>
  <c r="J39" i="15"/>
  <c r="G13" i="30"/>
  <c r="C19" s="1"/>
  <c r="G13" i="29"/>
  <c r="C19" s="1"/>
  <c r="C19" i="27"/>
  <c r="R20" i="15" s="1"/>
  <c r="G20" s="1"/>
  <c r="G13" i="26"/>
  <c r="G13" i="22"/>
  <c r="F12" i="23" s="1"/>
  <c r="I20" i="15" l="1"/>
  <c r="C17" i="26"/>
  <c r="I19" i="15"/>
  <c r="L14"/>
  <c r="AA14" s="1"/>
  <c r="AA11" s="1"/>
  <c r="AA56" s="1"/>
  <c r="AA57" s="1"/>
  <c r="AA58" s="1"/>
  <c r="C17" i="24"/>
  <c r="C17" i="29"/>
  <c r="C17" i="30"/>
  <c r="C19" i="22"/>
  <c r="L24" i="15"/>
  <c r="L26"/>
  <c r="L15"/>
  <c r="L21"/>
  <c r="L22"/>
  <c r="H14"/>
  <c r="H15"/>
  <c r="H20"/>
  <c r="H21"/>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K19" l="1"/>
  <c r="M19"/>
  <c r="K20"/>
  <c r="M20"/>
  <c r="C16" i="22"/>
  <c r="C17" s="1"/>
  <c r="J20" i="15"/>
  <c r="L20"/>
  <c r="J19"/>
  <c r="G12" i="23"/>
  <c r="H19" i="15"/>
  <c r="H23"/>
  <c r="H39"/>
  <c r="L46"/>
  <c r="L39"/>
  <c r="H46"/>
  <c r="F39"/>
  <c r="F46"/>
  <c r="F27"/>
  <c r="F11"/>
  <c r="G13" l="1"/>
  <c r="H13" s="1"/>
  <c r="I13"/>
  <c r="C19" i="23"/>
  <c r="R16" i="15" s="1"/>
  <c r="G16" s="1"/>
  <c r="G13" i="23"/>
  <c r="C16" s="1"/>
  <c r="L19" i="15"/>
  <c r="L23"/>
  <c r="F56"/>
  <c r="K13" l="1"/>
  <c r="M13"/>
  <c r="Z13"/>
  <c r="J13"/>
  <c r="L13"/>
  <c r="C17" i="23"/>
  <c r="F57" i="15"/>
  <c r="E25" i="20"/>
  <c r="E18"/>
  <c r="E28" s="1"/>
  <c r="E12"/>
  <c r="H16" i="15" l="1"/>
  <c r="I16"/>
  <c r="F58"/>
  <c r="B7" i="20"/>
  <c r="B6"/>
  <c r="H17" i="15"/>
  <c r="H18"/>
  <c r="M16" l="1"/>
  <c r="K16"/>
  <c r="L16" s="1"/>
  <c r="J16"/>
  <c r="L18"/>
  <c r="L17"/>
  <c r="J11" l="1"/>
  <c r="M11" s="1"/>
  <c r="H25"/>
  <c r="H11" s="1"/>
  <c r="L25" l="1"/>
  <c r="L11" s="1"/>
  <c r="G13" i="37" l="1"/>
  <c r="C19"/>
  <c r="F25"/>
  <c r="G25" s="1"/>
  <c r="C16" l="1"/>
  <c r="C17" s="1"/>
  <c r="R32" i="15"/>
  <c r="G32" l="1"/>
  <c r="H32" s="1"/>
  <c r="H27" s="1"/>
  <c r="I32"/>
  <c r="H56" l="1"/>
  <c r="H57" s="1"/>
  <c r="H58" s="1"/>
  <c r="M32"/>
  <c r="K32"/>
  <c r="L32" s="1"/>
  <c r="L27" s="1"/>
  <c r="Z32"/>
  <c r="J32"/>
  <c r="L57" l="1"/>
  <c r="L58" s="1"/>
  <c r="L56"/>
  <c r="J27"/>
  <c r="J56" s="1"/>
  <c r="M56" s="1"/>
  <c r="J57" l="1"/>
  <c r="M57" s="1"/>
  <c r="J58" l="1"/>
  <c r="M58" s="1"/>
  <c r="AA59" l="1"/>
</calcChain>
</file>

<file path=xl/sharedStrings.xml><?xml version="1.0" encoding="utf-8"?>
<sst xmlns="http://schemas.openxmlformats.org/spreadsheetml/2006/main" count="742" uniqueCount="305">
  <si>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</si>
  <si>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</si>
  <si>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</si>
  <si>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</si>
  <si>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</si>
  <si>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</si>
  <si>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</si>
  <si>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</si>
  <si>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</si>
  <si>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</si>
  <si>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</si>
  <si>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</si>
  <si>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</si>
  <si>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</si>
  <si>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</si>
  <si>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</si>
  <si>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</si>
  <si>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</si>
  <si>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</si>
  <si>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</si>
  <si>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</si>
  <si>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</si>
  <si>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</si>
  <si>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</si>
  <si>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</si>
  <si>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</si>
  <si>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</si>
  <si>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</si>
  <si>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</si>
  <si>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</si>
  <si>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</si>
  <si>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</si>
  <si>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</si>
  <si>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</si>
  <si>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</si>
  <si>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</si>
  <si>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</si>
  <si>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</si>
  <si>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</si>
  <si>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</si>
  <si>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</si>
  <si>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</si>
  <si>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</si>
  <si>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</si>
  <si>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</si>
  <si>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</si>
  <si>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</si>
  <si>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</si>
  <si>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</si>
  <si>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</si>
  <si>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</si>
  <si>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</si>
  <si>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</si>
  <si>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</si>
  <si>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</si>
  <si>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</si>
  <si>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</si>
  <si>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</si>
  <si>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</si>
  <si>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</si>
  <si>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</si>
  <si>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</si>
  <si>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</si>
  <si>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</si>
  <si>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</si>
  <si>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</si>
  <si>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</si>
  <si>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</si>
  <si>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</si>
  <si>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</si>
  <si>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</si>
  <si>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</si>
  <si>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</si>
  <si>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</si>
  <si>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</si>
  <si>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</si>
  <si>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</si>
  <si>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</si>
  <si>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</si>
  <si>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</si>
  <si>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</si>
  <si>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</si>
  <si>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</si>
  <si>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</si>
  <si>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</si>
  <si>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</si>
  <si>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</si>
  <si>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</si>
  <si>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</si>
  <si>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</si>
  <si>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</si>
  <si>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</si>
  <si>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</si>
  <si>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</si>
  <si>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</si>
  <si>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</si>
  <si>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</si>
  <si>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</si>
  <si>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</si>
  <si>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</si>
  <si>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</si>
  <si>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</si>
  <si>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</si>
  <si>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</si>
  <si>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</si>
  <si>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</si>
  <si>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</si>
  <si>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</si>
  <si>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</si>
  <si>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</si>
  <si>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</si>
  <si>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</si>
  <si>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</si>
  <si>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</si>
  <si>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</si>
  <si>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</si>
  <si>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</si>
  <si>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</si>
  <si>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</si>
  <si>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</si>
  <si>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</si>
  <si>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</si>
  <si>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</si>
  <si>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</si>
  <si>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</si>
  <si>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</si>
  <si>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</si>
  <si>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</si>
  <si>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</si>
  <si>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</si>
  <si>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</si>
  <si>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</si>
  <si>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</si>
  <si>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</si>
  <si>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</si>
  <si>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</si>
  <si>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</si>
  <si>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</si>
  <si>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</si>
  <si>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</si>
  <si>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</si>
  <si>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</si>
  <si>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</si>
  <si>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</si>
  <si>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</si>
  <si>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</si>
  <si>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</si>
  <si>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</si>
  <si>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</si>
  <si>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</si>
  <si>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</si>
  <si>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</si>
  <si>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</si>
  <si>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</si>
  <si>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</si>
  <si>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</si>
  <si>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</si>
  <si>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</si>
  <si>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</si>
  <si>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</si>
  <si>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</si>
  <si>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6</t>
  </si>
  <si>
    <t>mês 7</t>
  </si>
  <si>
    <t>mês 8</t>
  </si>
  <si>
    <t>mês 9</t>
  </si>
  <si>
    <t>mês 10</t>
  </si>
  <si>
    <t>mês 11</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</si>
  <si>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</si>
  <si>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</si>
  <si>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</si>
  <si>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</si>
  <si>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</si>
  <si>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</si>
  <si>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</si>
  <si>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</si>
  <si>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</si>
  <si>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</si>
  <si>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</si>
  <si>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</si>
  <si>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</si>
  <si>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</si>
  <si>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</si>
  <si>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</si>
  <si>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</si>
  <si>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</si>
  <si>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</si>
  <si>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</si>
  <si>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10mm da cola da pastilha</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</si>
  <si>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</si>
  <si>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</si>
  <si>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</si>
  <si>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</si>
  <si>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</si>
  <si>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</si>
  <si>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</si>
  <si>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</si>
  <si>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</si>
  <si>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</si>
  <si>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</si>
  <si>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</si>
  <si>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</si>
  <si>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</si>
  <si>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</si>
  <si>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</si>
  <si>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BM02</t>
  </si>
  <si>
    <t>ÁREA ACUMULADA ATÉ BM03</t>
  </si>
  <si>
    <t>VOLUME (M³)</t>
  </si>
  <si>
    <t>EMPOLAMENTO</t>
  </si>
  <si>
    <t>BM03</t>
  </si>
  <si>
    <t>PERIMETRO 73,93</t>
  </si>
  <si>
    <t>ALTURA 50,76</t>
  </si>
  <si>
    <t xml:space="preserve">ÁREA = </t>
  </si>
  <si>
    <t>CRITÉRIO DE LEVANTAMENTO: EQUIPAMENTO EXISTENTE NA OBRA - CONTAGEM</t>
  </si>
  <si>
    <t>Movimento carga</t>
  </si>
  <si>
    <t>M²</t>
  </si>
  <si>
    <t xml:space="preserve">REJUNTAMENTO </t>
  </si>
  <si>
    <t>CERÂMICA</t>
  </si>
  <si>
    <t>LOCAL</t>
  </si>
  <si>
    <t>UNIDADE</t>
  </si>
  <si>
    <t>PAREDE 1</t>
  </si>
  <si>
    <t>PAREDE 2</t>
  </si>
  <si>
    <t>PAREDE 3</t>
  </si>
  <si>
    <t>PAREDE 4</t>
  </si>
  <si>
    <t>PAREDE 5</t>
  </si>
  <si>
    <t>PAREDE 6</t>
  </si>
  <si>
    <t>BM02 acumulado</t>
  </si>
  <si>
    <t>BM03 acumulado</t>
  </si>
  <si>
    <t>volume empolado</t>
  </si>
  <si>
    <t>BM04 acumulado</t>
  </si>
  <si>
    <t>DEMOLIÇÃO DE PASTILHAS</t>
  </si>
  <si>
    <t>PAREDE 7</t>
  </si>
  <si>
    <t>ACUMULADO</t>
  </si>
  <si>
    <t>NO MÊS</t>
  </si>
  <si>
    <t>acumulado</t>
  </si>
  <si>
    <t>mês</t>
  </si>
  <si>
    <t>PASTILHAS</t>
  </si>
  <si>
    <t>REJUNTAMENTO</t>
  </si>
  <si>
    <t>nov. 21</t>
  </si>
  <si>
    <t>nov.21</t>
  </si>
  <si>
    <t>balancim: Mont. Desmontag.</t>
  </si>
  <si>
    <t>Valor TOTAL
CONTRATO R$</t>
  </si>
  <si>
    <t>QUANT.
 Total Contrato</t>
  </si>
  <si>
    <t>dez. 21</t>
  </si>
  <si>
    <t>PAREDE 8</t>
  </si>
  <si>
    <t>PAREDE 9</t>
  </si>
  <si>
    <t>PAREDE 10</t>
  </si>
  <si>
    <t>PAREDE 11</t>
  </si>
  <si>
    <t>PAREDE 12</t>
  </si>
  <si>
    <t>BM05</t>
  </si>
  <si>
    <t>BM05 acumulado</t>
  </si>
  <si>
    <t xml:space="preserve">dez. 21 </t>
  </si>
  <si>
    <t>PERÍODO DE REFERÊNCIA DA MEDIÇÃO ATUAL: 01 a 20 jan 2022</t>
  </si>
  <si>
    <t>MEMÓRIA DE CÁLCULO DO BOLETIM MENSAL DE MEDIÇÃO DOS SERVIÇOS-BM-05</t>
  </si>
  <si>
    <t>1,50m * 3 + 2,5m * 2 + 2m * 2 + 2 * 6m + 1 * 5m + 1 * 3m + 1 * 1m = 34,50m</t>
  </si>
  <si>
    <t>34,50 / 3 = 11,50 balancins</t>
  </si>
  <si>
    <t>Medição BM05 =</t>
  </si>
  <si>
    <t>Medição acumulada anteriormente BM04 =</t>
  </si>
  <si>
    <t>CRITÉRIO DE LEVANTAMENTO: CALCULO PROPORCIONALIDADE DO BALANCIM DE 3,00M</t>
  </si>
  <si>
    <t>Calculo de proporcionalidade</t>
  </si>
  <si>
    <t>ETAPA 1</t>
  </si>
  <si>
    <t>quantidade</t>
  </si>
  <si>
    <t>total</t>
  </si>
  <si>
    <t>ETAPA 2</t>
  </si>
  <si>
    <t>Set/21 - Jan/22</t>
  </si>
  <si>
    <t>Out/21 - Jan/22</t>
  </si>
  <si>
    <t>ETAPA 3</t>
  </si>
  <si>
    <t>ETAPA 4</t>
  </si>
  <si>
    <t>Nov/21 - Jan/22</t>
  </si>
  <si>
    <t xml:space="preserve">Dez/21 - </t>
  </si>
  <si>
    <t>Jan/22 - Jan/22</t>
  </si>
  <si>
    <t xml:space="preserve">ETAPAS </t>
  </si>
  <si>
    <t xml:space="preserve">Quant.meses </t>
  </si>
  <si>
    <t>intervalo</t>
  </si>
  <si>
    <t>Medição acumulada BM04</t>
  </si>
  <si>
    <t>Medição atual BM05</t>
  </si>
  <si>
    <t>Mes jan/22</t>
  </si>
  <si>
    <t>20 jan. 22</t>
  </si>
  <si>
    <t>M³</t>
  </si>
  <si>
    <t>mês 1
SET21</t>
  </si>
  <si>
    <t>mês 2
OUT21</t>
  </si>
  <si>
    <t>mês 3
NOV21</t>
  </si>
  <si>
    <t>mês 4
DEZ21</t>
  </si>
  <si>
    <t>BM 05 - 01 A 31/jan./2022</t>
  </si>
  <si>
    <t>BM 05 - 01 A 31/jan/2022</t>
  </si>
  <si>
    <t>BM 05 - 20 jan/2022</t>
  </si>
  <si>
    <t>até dia 20</t>
  </si>
  <si>
    <t>% produção
real</t>
  </si>
  <si>
    <t>%</t>
  </si>
  <si>
    <t>7,14+2,47*50</t>
  </si>
  <si>
    <t>PARA PROTEÇÃO DOS CARROS ESTACIONADOS NA REGIÃO DE RICOS DE QUEDA DE MATERIAL DEMOLIDO - CACOS DE PASTILHAS</t>
  </si>
  <si>
    <t>Reforço de tela duplicada</t>
  </si>
  <si>
    <t>BOLETIM DE MEDIÇÃO BM05 - 01 a 31 janeiro 2022</t>
  </si>
  <si>
    <t>MÊS 05
JAN 202</t>
  </si>
  <si>
    <t>mês 5
JAN22</t>
  </si>
  <si>
    <t>PERÍODO DE REFERÊNCIA DA MEDIÇÃO ATUAL: 01 a 31 jan 2022</t>
  </si>
  <si>
    <t>jan. 22</t>
  </si>
  <si>
    <t>PERÍODO DE REFERÊNCIA DA MEDIÇÃO ATUAL: 01  a 31 jan 2022</t>
  </si>
  <si>
    <t>BM 05 - 31 jan/2022</t>
  </si>
  <si>
    <t>dia 31</t>
  </si>
  <si>
    <t>Caixa dágua</t>
  </si>
  <si>
    <t>Parede</t>
  </si>
  <si>
    <t>Platibanda</t>
  </si>
  <si>
    <t>1 x (2,6*2+12,5)</t>
  </si>
  <si>
    <t>11*(2*(2,4+2,6))+12,5-3,5)</t>
  </si>
  <si>
    <t>2*(2,4+4,4+2,6+)+12,5</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</si>
</sst>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2">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color indexed="8"/>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26">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 fontId="44" fillId="24" borderId="0" xfId="0" applyNumberFormat="1" applyFont="1" applyFill="1" applyBorder="1" applyAlignment="1">
      <alignment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7" fontId="49" fillId="24" borderId="12" xfId="0" applyNumberFormat="1" applyFont="1" applyFill="1" applyBorder="1" applyAlignment="1">
      <alignment horizontal="left" vertical="center" wrapText="1"/>
    </xf>
    <xf numFmtId="17" fontId="0" fillId="0" borderId="25" xfId="0" applyNumberFormat="1" applyBorder="1"/>
    <xf numFmtId="0" fontId="0" fillId="0" borderId="25" xfId="0" applyBorder="1" applyAlignment="1">
      <alignment vertical="center"/>
    </xf>
    <xf numFmtId="0" fontId="0" fillId="0" borderId="25" xfId="0" applyBorder="1" applyAlignment="1">
      <alignment horizontal="right" vertical="center"/>
    </xf>
    <xf numFmtId="43" fontId="0" fillId="0" borderId="25" xfId="0" applyNumberFormat="1" applyBorder="1" applyAlignment="1">
      <alignment horizontal="right" vertical="center"/>
    </xf>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31" fillId="27" borderId="33" xfId="116" applyFont="1" applyFill="1" applyBorder="1" applyAlignment="1">
      <alignment horizontal="center" vertical="center"/>
    </xf>
    <xf numFmtId="0" fontId="0" fillId="0" borderId="25" xfId="0" applyBorder="1" applyAlignment="1">
      <alignment horizontal="center"/>
    </xf>
    <xf numFmtId="177" fontId="48" fillId="24" borderId="0" xfId="0" quotePrefix="1" applyNumberFormat="1" applyFont="1" applyFill="1" applyBorder="1" applyAlignment="1">
      <alignment horizontal="center" vertical="center"/>
    </xf>
    <xf numFmtId="43" fontId="0" fillId="0" borderId="25" xfId="0" applyNumberFormat="1" applyBorder="1" applyAlignment="1">
      <alignment vertical="center"/>
    </xf>
    <xf numFmtId="2" fontId="0" fillId="0" borderId="25" xfId="0" applyNumberFormat="1" applyBorder="1" applyAlignment="1">
      <alignment vertical="center"/>
    </xf>
    <xf numFmtId="17" fontId="59" fillId="0" borderId="25" xfId="0" applyNumberFormat="1" applyFont="1" applyBorder="1"/>
    <xf numFmtId="43" fontId="59" fillId="0" borderId="25" xfId="0" applyNumberFormat="1" applyFont="1" applyBorder="1"/>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58" fillId="0" borderId="0" xfId="0" applyFont="1"/>
    <xf numFmtId="0" fontId="0" fillId="0" borderId="0" xfId="0" applyAlignment="1">
      <alignment horizontal="center" vertical="center"/>
    </xf>
    <xf numFmtId="0" fontId="58" fillId="0" borderId="25" xfId="0" applyFont="1" applyBorder="1"/>
    <xf numFmtId="17" fontId="58" fillId="0" borderId="25" xfId="0" applyNumberFormat="1" applyFont="1" applyBorder="1"/>
    <xf numFmtId="177" fontId="60"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17" fontId="59" fillId="0" borderId="25" xfId="0" applyNumberFormat="1" applyFont="1" applyBorder="1" applyAlignment="1">
      <alignment horizontal="center" vertical="center"/>
    </xf>
    <xf numFmtId="0" fontId="0" fillId="0" borderId="16" xfId="0" applyBorder="1"/>
    <xf numFmtId="43" fontId="0" fillId="0" borderId="16" xfId="116" applyFont="1" applyBorder="1" applyAlignment="1">
      <alignment horizontal="center" vertical="center"/>
    </xf>
    <xf numFmtId="0" fontId="0" fillId="0" borderId="16" xfId="0" applyBorder="1" applyAlignment="1">
      <alignment horizontal="center"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61" fillId="24" borderId="12" xfId="0" applyNumberFormat="1" applyFont="1" applyFill="1" applyBorder="1" applyAlignment="1">
      <alignment horizontal="left" vertical="center" wrapText="1"/>
    </xf>
    <xf numFmtId="177" fontId="57" fillId="24" borderId="0" xfId="0" applyNumberFormat="1" applyFont="1" applyFill="1" applyBorder="1" applyAlignment="1">
      <alignment horizontal="left" vertical="center" wrapText="1"/>
    </xf>
    <xf numFmtId="4" fontId="57" fillId="24" borderId="0" xfId="0" applyNumberFormat="1" applyFont="1" applyFill="1" applyBorder="1" applyAlignment="1">
      <alignment horizontal="center" vertical="center" wrapText="1"/>
    </xf>
    <xf numFmtId="177" fontId="61" fillId="24" borderId="24" xfId="0" applyNumberFormat="1" applyFont="1" applyFill="1" applyBorder="1" applyAlignment="1">
      <alignment vertical="center"/>
    </xf>
    <xf numFmtId="4" fontId="57" fillId="24" borderId="24" xfId="0" applyNumberFormat="1" applyFont="1" applyFill="1" applyBorder="1" applyAlignment="1">
      <alignment vertical="center" wrapText="1"/>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25" xfId="0" applyBorder="1" applyAlignment="1">
      <alignment horizontal="center"/>
    </xf>
    <xf numFmtId="177" fontId="49" fillId="24" borderId="13" xfId="0"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7" fillId="24" borderId="0" xfId="0" applyNumberFormat="1" applyFont="1" applyFill="1" applyBorder="1" applyAlignment="1">
      <alignment horizontal="right" vertical="center" wrapText="1"/>
    </xf>
    <xf numFmtId="0" fontId="0" fillId="0" borderId="25" xfId="0" applyBorder="1" applyAlignment="1">
      <alignment horizontal="left" vertical="center"/>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4" fontId="57" fillId="24" borderId="24" xfId="0" applyNumberFormat="1" applyFont="1" applyFill="1" applyBorder="1" applyAlignment="1">
      <alignment horizontal="center" vertical="center" wrapText="1"/>
    </xf>
    <xf numFmtId="177" fontId="57" fillId="24" borderId="31" xfId="0" applyNumberFormat="1" applyFont="1" applyFill="1" applyBorder="1" applyAlignment="1">
      <alignment horizontal="center" vertical="center" wrapText="1"/>
    </xf>
    <xf numFmtId="177" fontId="57" fillId="24" borderId="24" xfId="0" applyNumberFormat="1" applyFont="1" applyFill="1" applyBorder="1" applyAlignment="1">
      <alignment horizontal="center" vertical="center" wrapText="1"/>
    </xf>
    <xf numFmtId="4" fontId="51" fillId="24" borderId="0" xfId="0" applyNumberFormat="1" applyFont="1" applyFill="1" applyBorder="1" applyAlignment="1">
      <alignment horizontal="center" vertical="center" wrapText="1"/>
    </xf>
    <xf numFmtId="177" fontId="50" fillId="24" borderId="16" xfId="0" applyNumberFormat="1" applyFont="1" applyFill="1" applyBorder="1" applyAlignment="1">
      <alignment horizontal="center" vertical="center"/>
    </xf>
    <xf numFmtId="177" fontId="61" fillId="24" borderId="31" xfId="0" applyNumberFormat="1" applyFont="1" applyFill="1" applyBorder="1" applyAlignment="1">
      <alignment horizontal="center" vertical="center" wrapText="1"/>
    </xf>
    <xf numFmtId="177" fontId="61" fillId="24" borderId="24" xfId="0" applyNumberFormat="1" applyFont="1" applyFill="1" applyBorder="1" applyAlignment="1">
      <alignment horizontal="center" vertical="center" wrapText="1"/>
    </xf>
    <xf numFmtId="177" fontId="61" fillId="24" borderId="24" xfId="0" applyNumberFormat="1" applyFont="1" applyFill="1" applyBorder="1" applyAlignment="1">
      <alignment horizontal="center" vertical="center"/>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772585</xdr:colOff>
      <xdr:row>58</xdr:row>
      <xdr:rowOff>150394</xdr:rowOff>
    </xdr:from>
    <xdr:to>
      <xdr:col>1</xdr:col>
      <xdr:colOff>1651001</xdr:colOff>
      <xdr:row>58</xdr:row>
      <xdr:rowOff>642012</xdr:rowOff>
    </xdr:to>
    <xdr:pic>
      <xdr:nvPicPr>
        <xdr:cNvPr id="3" name="Imagem 2">
          <a:extLst>
            <a:ext uri="{FF2B5EF4-FFF2-40B4-BE49-F238E27FC236}">
              <a16:creationId xmlns:a16="http://schemas.microsoft.com/office/drawing/2014/main" xmlns="" id="{E908A2D0-3F2C-489A-9355-AC135BEE5376}"/>
            </a:ext>
          </a:extLst>
        </xdr:cNvPr>
        <xdr:cNvPicPr>
          <a:picLocks noChangeAspect="1"/>
        </xdr:cNvPicPr>
      </xdr:nvPicPr>
      <xdr:blipFill>
        <a:blip xmlns:r="http://schemas.openxmlformats.org/officeDocument/2006/relationships" r:embed="rId2" cstate="print"/>
        <a:stretch>
          <a:fillRect/>
        </a:stretch>
      </xdr:blipFill>
      <xdr:spPr>
        <a:xfrm>
          <a:off x="1608668" y="19729561"/>
          <a:ext cx="878416" cy="491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50</xdr:row>
      <xdr:rowOff>0</xdr:rowOff>
    </xdr:from>
    <xdr:to>
      <xdr:col>7</xdr:col>
      <xdr:colOff>182575</xdr:colOff>
      <xdr:row>52</xdr:row>
      <xdr:rowOff>93769</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695950" y="9639300"/>
          <a:ext cx="877900" cy="493819"/>
        </a:xfrm>
        <a:prstGeom prst="rect">
          <a:avLst/>
        </a:prstGeom>
      </xdr:spPr>
    </xdr:pic>
    <xdr:clientData/>
  </xdr:twoCellAnchor>
  <xdr:twoCellAnchor editAs="oneCell">
    <xdr:from>
      <xdr:col>1</xdr:col>
      <xdr:colOff>600075</xdr:colOff>
      <xdr:row>36</xdr:row>
      <xdr:rowOff>0</xdr:rowOff>
    </xdr:from>
    <xdr:to>
      <xdr:col>5</xdr:col>
      <xdr:colOff>571500</xdr:colOff>
      <xdr:row>52</xdr:row>
      <xdr:rowOff>167398</xdr:rowOff>
    </xdr:to>
    <xdr:pic>
      <xdr:nvPicPr>
        <xdr:cNvPr id="4" name="Imagem 3">
          <a:extLst>
            <a:ext uri="{FF2B5EF4-FFF2-40B4-BE49-F238E27FC236}">
              <a16:creationId xmlns:a16="http://schemas.microsoft.com/office/drawing/2014/main" xmlns="" id="{2421AB3A-0F29-49EC-A437-51704133C953}"/>
            </a:ext>
          </a:extLst>
        </xdr:cNvPr>
        <xdr:cNvPicPr>
          <a:picLocks noChangeAspect="1"/>
        </xdr:cNvPicPr>
      </xdr:nvPicPr>
      <xdr:blipFill>
        <a:blip xmlns:r="http://schemas.openxmlformats.org/officeDocument/2006/relationships" r:embed="rId2"/>
        <a:stretch>
          <a:fillRect/>
        </a:stretch>
      </xdr:blipFill>
      <xdr:spPr>
        <a:xfrm>
          <a:off x="1419225" y="7658100"/>
          <a:ext cx="4124325" cy="33011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7</xdr:col>
      <xdr:colOff>182575</xdr:colOff>
      <xdr:row>53</xdr:row>
      <xdr:rowOff>93769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1</xdr:col>
      <xdr:colOff>114300</xdr:colOff>
      <xdr:row>35</xdr:row>
      <xdr:rowOff>1</xdr:rowOff>
    </xdr:from>
    <xdr:to>
      <xdr:col>6</xdr:col>
      <xdr:colOff>19050</xdr:colOff>
      <xdr:row>53</xdr:row>
      <xdr:rowOff>170911</xdr:rowOff>
    </xdr:to>
    <xdr:pic>
      <xdr:nvPicPr>
        <xdr:cNvPr id="6" name="Imagem 5">
          <a:extLst>
            <a:ext uri="{FF2B5EF4-FFF2-40B4-BE49-F238E27FC236}">
              <a16:creationId xmlns:a16="http://schemas.microsoft.com/office/drawing/2014/main" xmlns="" id="{836CE9E9-02AB-4780-BDEC-F4EEA3D9626C}"/>
            </a:ext>
          </a:extLst>
        </xdr:cNvPr>
        <xdr:cNvPicPr>
          <a:picLocks noChangeAspect="1"/>
        </xdr:cNvPicPr>
      </xdr:nvPicPr>
      <xdr:blipFill>
        <a:blip xmlns:r="http://schemas.openxmlformats.org/officeDocument/2006/relationships" r:embed="rId2"/>
        <a:stretch>
          <a:fillRect/>
        </a:stretch>
      </xdr:blipFill>
      <xdr:spPr>
        <a:xfrm>
          <a:off x="933450" y="7467601"/>
          <a:ext cx="4733925" cy="37713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7</xdr:col>
      <xdr:colOff>182575</xdr:colOff>
      <xdr:row>47</xdr:row>
      <xdr:rowOff>93769</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428625</xdr:colOff>
      <xdr:row>51</xdr:row>
      <xdr:rowOff>57150</xdr:rowOff>
    </xdr:from>
    <xdr:to>
      <xdr:col>6</xdr:col>
      <xdr:colOff>658825</xdr:colOff>
      <xdr:row>53</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161926</xdr:colOff>
      <xdr:row>30</xdr:row>
      <xdr:rowOff>47625</xdr:rowOff>
    </xdr:from>
    <xdr:to>
      <xdr:col>5</xdr:col>
      <xdr:colOff>628651</xdr:colOff>
      <xdr:row>50</xdr:row>
      <xdr:rowOff>146182</xdr:rowOff>
    </xdr:to>
    <xdr:pic>
      <xdr:nvPicPr>
        <xdr:cNvPr id="4" name="Imagem 3">
          <a:extLst>
            <a:ext uri="{FF2B5EF4-FFF2-40B4-BE49-F238E27FC236}">
              <a16:creationId xmlns:a16="http://schemas.microsoft.com/office/drawing/2014/main" xmlns="" id="{76458270-5DD4-4103-8AE4-8CC049F75553}"/>
            </a:ext>
          </a:extLst>
        </xdr:cNvPr>
        <xdr:cNvPicPr>
          <a:picLocks noChangeAspect="1"/>
        </xdr:cNvPicPr>
      </xdr:nvPicPr>
      <xdr:blipFill>
        <a:blip xmlns:r="http://schemas.openxmlformats.org/officeDocument/2006/relationships" r:embed="rId2"/>
        <a:stretch>
          <a:fillRect/>
        </a:stretch>
      </xdr:blipFill>
      <xdr:spPr>
        <a:xfrm>
          <a:off x="981076" y="6419850"/>
          <a:ext cx="4743450" cy="40990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50</xdr:row>
      <xdr:rowOff>66675</xdr:rowOff>
    </xdr:from>
    <xdr:to>
      <xdr:col>7</xdr:col>
      <xdr:colOff>96850</xdr:colOff>
      <xdr:row>52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1</xdr:col>
      <xdr:colOff>885824</xdr:colOff>
      <xdr:row>28</xdr:row>
      <xdr:rowOff>85725</xdr:rowOff>
    </xdr:from>
    <xdr:to>
      <xdr:col>5</xdr:col>
      <xdr:colOff>294197</xdr:colOff>
      <xdr:row>49</xdr:row>
      <xdr:rowOff>152400</xdr:rowOff>
    </xdr:to>
    <xdr:pic>
      <xdr:nvPicPr>
        <xdr:cNvPr id="3" name="Imagem 2">
          <a:extLst>
            <a:ext uri="{FF2B5EF4-FFF2-40B4-BE49-F238E27FC236}">
              <a16:creationId xmlns:a16="http://schemas.microsoft.com/office/drawing/2014/main" xmlns="" id="{A6D0192C-26BB-45AC-B6B5-58CD3280C4F0}"/>
            </a:ext>
          </a:extLst>
        </xdr:cNvPr>
        <xdr:cNvPicPr>
          <a:picLocks noChangeAspect="1"/>
        </xdr:cNvPicPr>
      </xdr:nvPicPr>
      <xdr:blipFill>
        <a:blip xmlns:r="http://schemas.openxmlformats.org/officeDocument/2006/relationships" r:embed="rId2"/>
        <a:stretch>
          <a:fillRect/>
        </a:stretch>
      </xdr:blipFill>
      <xdr:spPr>
        <a:xfrm>
          <a:off x="1704974" y="6219825"/>
          <a:ext cx="3637473" cy="4191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50</xdr:row>
      <xdr:rowOff>28575</xdr:rowOff>
    </xdr:from>
    <xdr:to>
      <xdr:col>7</xdr:col>
      <xdr:colOff>106375</xdr:colOff>
      <xdr:row>52</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828675</xdr:colOff>
      <xdr:row>36</xdr:row>
      <xdr:rowOff>28575</xdr:rowOff>
    </xdr:from>
    <xdr:to>
      <xdr:col>4</xdr:col>
      <xdr:colOff>720483</xdr:colOff>
      <xdr:row>49</xdr:row>
      <xdr:rowOff>133350</xdr:rowOff>
    </xdr:to>
    <xdr:pic>
      <xdr:nvPicPr>
        <xdr:cNvPr id="4" name="Imagem 3">
          <a:extLst>
            <a:ext uri="{FF2B5EF4-FFF2-40B4-BE49-F238E27FC236}">
              <a16:creationId xmlns:a16="http://schemas.microsoft.com/office/drawing/2014/main" xmlns="" id="{E6741331-F4E7-421D-A7B1-411A2ACBF945}"/>
            </a:ext>
          </a:extLst>
        </xdr:cNvPr>
        <xdr:cNvPicPr>
          <a:picLocks noChangeAspect="1"/>
        </xdr:cNvPicPr>
      </xdr:nvPicPr>
      <xdr:blipFill>
        <a:blip xmlns:r="http://schemas.openxmlformats.org/officeDocument/2006/relationships" r:embed="rId2"/>
        <a:stretch>
          <a:fillRect/>
        </a:stretch>
      </xdr:blipFill>
      <xdr:spPr>
        <a:xfrm>
          <a:off x="1647825" y="7267575"/>
          <a:ext cx="3482733"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46</xdr:row>
      <xdr:rowOff>152400</xdr:rowOff>
    </xdr:from>
    <xdr:to>
      <xdr:col>7</xdr:col>
      <xdr:colOff>106375</xdr:colOff>
      <xdr:row>49</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323850</xdr:colOff>
      <xdr:row>19</xdr:row>
      <xdr:rowOff>38100</xdr:rowOff>
    </xdr:from>
    <xdr:to>
      <xdr:col>6</xdr:col>
      <xdr:colOff>694580</xdr:colOff>
      <xdr:row>37</xdr:row>
      <xdr:rowOff>189962</xdr:rowOff>
    </xdr:to>
    <xdr:pic>
      <xdr:nvPicPr>
        <xdr:cNvPr id="4" name="Imagem 3">
          <a:extLst>
            <a:ext uri="{FF2B5EF4-FFF2-40B4-BE49-F238E27FC236}">
              <a16:creationId xmlns:a16="http://schemas.microsoft.com/office/drawing/2014/main" xmlns="" id="{EB8B60C2-1620-4C90-B71E-A062E67110D4}"/>
            </a:ext>
          </a:extLst>
        </xdr:cNvPr>
        <xdr:cNvPicPr>
          <a:picLocks noChangeAspect="1"/>
        </xdr:cNvPicPr>
      </xdr:nvPicPr>
      <xdr:blipFill>
        <a:blip xmlns:r="http://schemas.openxmlformats.org/officeDocument/2006/relationships" r:embed="rId2"/>
        <a:stretch>
          <a:fillRect/>
        </a:stretch>
      </xdr:blipFill>
      <xdr:spPr>
        <a:xfrm>
          <a:off x="323850" y="4238625"/>
          <a:ext cx="5961905" cy="43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76199</xdr:colOff>
      <xdr:row>20</xdr:row>
      <xdr:rowOff>19049</xdr:rowOff>
    </xdr:from>
    <xdr:to>
      <xdr:col>6</xdr:col>
      <xdr:colOff>247649</xdr:colOff>
      <xdr:row>39</xdr:row>
      <xdr:rowOff>56472</xdr:rowOff>
    </xdr:to>
    <xdr:pic>
      <xdr:nvPicPr>
        <xdr:cNvPr id="3" name="Imagem 2">
          <a:extLst>
            <a:ext uri="{FF2B5EF4-FFF2-40B4-BE49-F238E27FC236}">
              <a16:creationId xmlns:a16="http://schemas.microsoft.com/office/drawing/2014/main" xmlns="" id="{3C33440E-FDD6-4361-813E-589606778FCB}"/>
            </a:ext>
          </a:extLst>
        </xdr:cNvPr>
        <xdr:cNvPicPr>
          <a:picLocks noChangeAspect="1"/>
        </xdr:cNvPicPr>
      </xdr:nvPicPr>
      <xdr:blipFill>
        <a:blip xmlns:r="http://schemas.openxmlformats.org/officeDocument/2006/relationships" r:embed="rId2"/>
        <a:stretch>
          <a:fillRect/>
        </a:stretch>
      </xdr:blipFill>
      <xdr:spPr>
        <a:xfrm>
          <a:off x="895349" y="4114799"/>
          <a:ext cx="5191125" cy="4361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0</xdr:col>
      <xdr:colOff>95250</xdr:colOff>
      <xdr:row>20</xdr:row>
      <xdr:rowOff>161925</xdr:rowOff>
    </xdr:from>
    <xdr:to>
      <xdr:col>7</xdr:col>
      <xdr:colOff>428625</xdr:colOff>
      <xdr:row>41</xdr:row>
      <xdr:rowOff>113708</xdr:rowOff>
    </xdr:to>
    <xdr:pic>
      <xdr:nvPicPr>
        <xdr:cNvPr id="6" name="Imagem 5">
          <a:extLst>
            <a:ext uri="{FF2B5EF4-FFF2-40B4-BE49-F238E27FC236}">
              <a16:creationId xmlns:a16="http://schemas.microsoft.com/office/drawing/2014/main" xmlns="" id="{2C593D70-B7B6-4083-B4AA-B95345E87A25}"/>
            </a:ext>
          </a:extLst>
        </xdr:cNvPr>
        <xdr:cNvPicPr>
          <a:picLocks noChangeAspect="1"/>
        </xdr:cNvPicPr>
      </xdr:nvPicPr>
      <xdr:blipFill>
        <a:blip xmlns:r="http://schemas.openxmlformats.org/officeDocument/2006/relationships" r:embed="rId2"/>
        <a:stretch>
          <a:fillRect/>
        </a:stretch>
      </xdr:blipFill>
      <xdr:spPr>
        <a:xfrm>
          <a:off x="95250" y="4581525"/>
          <a:ext cx="6867525" cy="41046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42632412404\Downloads\Memorias%20de%20calculo%20&#193;REAS%20BM05%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s>
    <sheetDataSet>
      <sheetData sheetId="0"/>
      <sheetData sheetId="1">
        <row r="22">
          <cell r="G22">
            <v>642.59730000000013</v>
          </cell>
        </row>
        <row r="30">
          <cell r="C30">
            <v>292.00880000000001</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view="pageBreakPreview" zoomScale="60" workbookViewId="0">
      <selection activeCell="J59" sqref="A1:M59"/>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8.7109375" style="31" bestFit="1" customWidth="1"/>
    <col min="9" max="9" width="12.140625" style="31" bestFit="1" customWidth="1"/>
    <col min="10" max="10" width="19.85546875" style="31" bestFit="1" customWidth="1"/>
    <col min="11" max="11" width="11.140625" style="31" bestFit="1" customWidth="1"/>
    <col min="12" max="12" width="21.28515625" style="6" bestFit="1" customWidth="1"/>
    <col min="13" max="13" width="10.140625" style="6" bestFit="1" customWidth="1"/>
    <col min="14" max="14" width="10.42578125" style="122" bestFit="1" customWidth="1"/>
    <col min="15" max="15" width="9.28515625" style="6" customWidth="1"/>
    <col min="16" max="16" width="9.85546875" style="31" bestFit="1" customWidth="1"/>
    <col min="17" max="17" width="9.28515625" style="6" customWidth="1"/>
    <col min="18" max="18" width="10.42578125" style="6" bestFit="1" customWidth="1"/>
    <col min="19" max="25" width="9.140625" style="6"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186</v>
      </c>
      <c r="G1" s="107"/>
      <c r="H1" s="95"/>
      <c r="I1" s="95"/>
      <c r="J1" s="95"/>
      <c r="K1" s="95"/>
      <c r="L1" s="108"/>
      <c r="M1" s="109"/>
    </row>
    <row r="2" spans="1:27" ht="18" customHeight="1">
      <c r="A2" s="102"/>
      <c r="B2" s="252" t="s">
        <v>49</v>
      </c>
      <c r="C2" s="252"/>
      <c r="D2" s="252"/>
      <c r="E2" s="252"/>
      <c r="F2" s="252"/>
      <c r="G2" s="252"/>
      <c r="H2" s="252"/>
      <c r="I2" s="252"/>
      <c r="J2" s="252"/>
      <c r="K2" s="252"/>
      <c r="L2" s="252"/>
      <c r="M2" s="253"/>
    </row>
    <row r="3" spans="1:27" ht="15" customHeight="1">
      <c r="A3" s="32"/>
      <c r="B3" s="252" t="s">
        <v>6</v>
      </c>
      <c r="C3" s="252"/>
      <c r="D3" s="252"/>
      <c r="E3" s="252"/>
      <c r="F3" s="252"/>
      <c r="G3" s="252"/>
      <c r="H3" s="252"/>
      <c r="I3" s="252"/>
      <c r="J3" s="252"/>
      <c r="K3" s="252"/>
      <c r="L3" s="252"/>
      <c r="M3" s="253"/>
    </row>
    <row r="4" spans="1:27" ht="15" customHeight="1">
      <c r="A4" s="32"/>
      <c r="B4" s="252" t="s">
        <v>0</v>
      </c>
      <c r="C4" s="252"/>
      <c r="D4" s="252"/>
      <c r="E4" s="252"/>
      <c r="F4" s="252"/>
      <c r="G4" s="252"/>
      <c r="H4" s="252"/>
      <c r="I4" s="252"/>
      <c r="J4" s="252"/>
      <c r="K4" s="252"/>
      <c r="L4" s="252"/>
      <c r="M4" s="253"/>
      <c r="N4" s="146" t="s">
        <v>186</v>
      </c>
    </row>
    <row r="5" spans="1:27" ht="16.5" customHeight="1">
      <c r="A5" s="94"/>
      <c r="B5" s="252" t="s">
        <v>104</v>
      </c>
      <c r="C5" s="252"/>
      <c r="D5" s="252"/>
      <c r="E5" s="252"/>
      <c r="F5" s="252"/>
      <c r="G5" s="252"/>
      <c r="H5" s="252"/>
      <c r="I5" s="252"/>
      <c r="J5" s="252"/>
      <c r="K5" s="252"/>
      <c r="L5" s="252"/>
      <c r="M5" s="253"/>
    </row>
    <row r="6" spans="1:27" ht="8.25" customHeight="1">
      <c r="A6" s="254" t="s">
        <v>291</v>
      </c>
      <c r="B6" s="240"/>
      <c r="C6" s="240"/>
      <c r="D6" s="240"/>
      <c r="E6" s="240"/>
      <c r="F6" s="240"/>
      <c r="G6" s="240"/>
      <c r="H6" s="240"/>
      <c r="I6" s="240"/>
      <c r="J6" s="240"/>
      <c r="K6" s="240"/>
      <c r="L6" s="240"/>
      <c r="M6" s="240"/>
    </row>
    <row r="7" spans="1:27" ht="4.5" customHeight="1">
      <c r="A7" s="241"/>
      <c r="B7" s="241"/>
      <c r="C7" s="241"/>
      <c r="D7" s="241"/>
      <c r="E7" s="241"/>
      <c r="F7" s="241"/>
      <c r="G7" s="241"/>
      <c r="H7" s="241"/>
      <c r="I7" s="241"/>
      <c r="J7" s="241"/>
      <c r="K7" s="241"/>
      <c r="L7" s="241"/>
      <c r="M7" s="241"/>
    </row>
    <row r="8" spans="1:27" ht="16.5" customHeight="1">
      <c r="A8" s="239" t="s">
        <v>3</v>
      </c>
      <c r="B8" s="239" t="s">
        <v>4</v>
      </c>
      <c r="C8" s="239" t="s">
        <v>8</v>
      </c>
      <c r="D8" s="239" t="s">
        <v>241</v>
      </c>
      <c r="E8" s="255" t="s">
        <v>11</v>
      </c>
      <c r="F8" s="255" t="s">
        <v>240</v>
      </c>
      <c r="G8" s="244" t="s">
        <v>292</v>
      </c>
      <c r="H8" s="245"/>
      <c r="I8" s="244" t="s">
        <v>160</v>
      </c>
      <c r="J8" s="245"/>
      <c r="K8" s="259" t="s">
        <v>110</v>
      </c>
      <c r="L8" s="259"/>
      <c r="M8" s="259"/>
    </row>
    <row r="9" spans="1:27" ht="17.25" thickBot="1">
      <c r="A9" s="240"/>
      <c r="B9" s="240"/>
      <c r="C9" s="240"/>
      <c r="D9" s="240"/>
      <c r="E9" s="256"/>
      <c r="F9" s="256"/>
      <c r="G9" s="246"/>
      <c r="H9" s="247"/>
      <c r="I9" s="246"/>
      <c r="J9" s="247"/>
      <c r="K9" s="259"/>
      <c r="L9" s="259"/>
      <c r="M9" s="259"/>
    </row>
    <row r="10" spans="1:27" ht="30.75" customHeight="1">
      <c r="A10" s="241"/>
      <c r="B10" s="241"/>
      <c r="C10" s="241"/>
      <c r="D10" s="241"/>
      <c r="E10" s="257"/>
      <c r="F10" s="257"/>
      <c r="G10" s="110" t="s">
        <v>108</v>
      </c>
      <c r="H10" s="96" t="s">
        <v>109</v>
      </c>
      <c r="I10" s="110" t="s">
        <v>169</v>
      </c>
      <c r="J10" s="96" t="s">
        <v>168</v>
      </c>
      <c r="K10" s="96" t="s">
        <v>44</v>
      </c>
      <c r="L10" s="110" t="s">
        <v>111</v>
      </c>
      <c r="M10" s="110" t="s">
        <v>112</v>
      </c>
      <c r="N10" s="258" t="s">
        <v>278</v>
      </c>
      <c r="O10" s="258" t="s">
        <v>279</v>
      </c>
      <c r="P10" s="258" t="s">
        <v>280</v>
      </c>
      <c r="Q10" s="258" t="s">
        <v>281</v>
      </c>
      <c r="R10" s="258" t="s">
        <v>293</v>
      </c>
      <c r="S10" s="250" t="s">
        <v>161</v>
      </c>
      <c r="T10" s="250" t="s">
        <v>162</v>
      </c>
      <c r="U10" s="250" t="s">
        <v>163</v>
      </c>
      <c r="V10" s="250" t="s">
        <v>164</v>
      </c>
      <c r="W10" s="250" t="s">
        <v>165</v>
      </c>
      <c r="X10" s="250" t="s">
        <v>166</v>
      </c>
      <c r="Y10" s="250" t="s">
        <v>167</v>
      </c>
      <c r="Z10" s="237" t="s">
        <v>286</v>
      </c>
    </row>
    <row r="11" spans="1:27">
      <c r="A11" s="111">
        <v>1</v>
      </c>
      <c r="B11" s="112" t="s">
        <v>55</v>
      </c>
      <c r="C11" s="112"/>
      <c r="D11" s="113"/>
      <c r="E11" s="114"/>
      <c r="F11" s="97">
        <f>SUM(F12:F26)</f>
        <v>417241.25</v>
      </c>
      <c r="G11" s="115"/>
      <c r="H11" s="97">
        <f>TRUNC(SUM(H12:H26),2)</f>
        <v>33355.67</v>
      </c>
      <c r="I11" s="97"/>
      <c r="J11" s="97">
        <f>TRUNC(SUM(J12:J26),2)</f>
        <v>202662.41</v>
      </c>
      <c r="K11" s="191"/>
      <c r="L11" s="97">
        <f>TRUNC(SUM(L12:L26),2)</f>
        <v>214578.77</v>
      </c>
      <c r="M11" s="174">
        <f>(F11-J11)/F11</f>
        <v>0.5142800238471148</v>
      </c>
      <c r="N11" s="251"/>
      <c r="O11" s="251"/>
      <c r="P11" s="251"/>
      <c r="Q11" s="251"/>
      <c r="R11" s="251"/>
      <c r="S11" s="251"/>
      <c r="T11" s="251"/>
      <c r="U11" s="251"/>
      <c r="V11" s="251"/>
      <c r="W11" s="251"/>
      <c r="X11" s="251"/>
      <c r="Y11" s="251"/>
      <c r="Z11" s="238"/>
      <c r="AA11" s="224">
        <f>TRUNC(SUM(AA12:AA26),2)</f>
        <v>22532</v>
      </c>
    </row>
    <row r="12" spans="1:27" ht="25.5">
      <c r="A12" s="117">
        <v>101</v>
      </c>
      <c r="B12" s="118" t="s">
        <v>56</v>
      </c>
      <c r="C12" s="117" t="s">
        <v>10</v>
      </c>
      <c r="D12" s="119">
        <v>1</v>
      </c>
      <c r="E12" s="98">
        <v>362.55</v>
      </c>
      <c r="F12" s="98">
        <f t="shared" ref="F12:F26" si="0">TRUNC(D12 * E12, 2)</f>
        <v>362.55</v>
      </c>
      <c r="G12" s="126">
        <f>R12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183">
        <v>1</v>
      </c>
      <c r="O12" s="182"/>
      <c r="P12" s="182"/>
      <c r="Q12" s="166"/>
      <c r="R12" s="193"/>
      <c r="S12" s="166"/>
      <c r="T12" s="166"/>
      <c r="U12" s="166"/>
      <c r="V12" s="166"/>
      <c r="W12" s="166"/>
      <c r="X12" s="166"/>
      <c r="Y12" s="166"/>
      <c r="Z12" s="6">
        <v>1000</v>
      </c>
    </row>
    <row r="13" spans="1:27" ht="25.5">
      <c r="A13" s="117">
        <v>102</v>
      </c>
      <c r="B13" s="118" t="s">
        <v>57</v>
      </c>
      <c r="C13" s="117" t="s">
        <v>99</v>
      </c>
      <c r="D13" s="119">
        <v>4300</v>
      </c>
      <c r="E13" s="98">
        <v>14.19</v>
      </c>
      <c r="F13" s="98">
        <f t="shared" si="0"/>
        <v>61017</v>
      </c>
      <c r="G13" s="126">
        <f t="shared" ref="G13:G55" si="5">R13</f>
        <v>642.59730000000013</v>
      </c>
      <c r="H13" s="98">
        <f t="shared" si="1"/>
        <v>9118.4500000000007</v>
      </c>
      <c r="I13" s="101">
        <f t="shared" si="2"/>
        <v>1890.2673000000002</v>
      </c>
      <c r="J13" s="98">
        <f t="shared" si="3"/>
        <v>26822.89</v>
      </c>
      <c r="K13" s="99">
        <f t="shared" ref="K13:K55" si="6">D13-I13</f>
        <v>2409.7326999999996</v>
      </c>
      <c r="L13" s="98">
        <f t="shared" si="4"/>
        <v>34194.1</v>
      </c>
      <c r="M13" s="116">
        <f>(D13-I13)/D13</f>
        <v>0.56040295348837199</v>
      </c>
      <c r="N13" s="183">
        <v>264.18</v>
      </c>
      <c r="O13" s="183">
        <v>509.74</v>
      </c>
      <c r="P13" s="183">
        <v>262.74</v>
      </c>
      <c r="Q13" s="172">
        <v>211.01</v>
      </c>
      <c r="R13" s="193">
        <f>'[2]Demolição 102'!$G$22</f>
        <v>642.59730000000013</v>
      </c>
      <c r="S13" s="166"/>
      <c r="T13" s="166"/>
      <c r="U13" s="166"/>
      <c r="V13" s="166"/>
      <c r="W13" s="166"/>
      <c r="X13" s="166"/>
      <c r="Y13" s="166"/>
      <c r="Z13" s="222" t="e">
        <f>((#REF!-$Z$12)-I13)/(#REF!-$Z$12)</f>
        <v>#REF!</v>
      </c>
      <c r="AA13" s="223">
        <f>1000*E13</f>
        <v>14190</v>
      </c>
    </row>
    <row r="14" spans="1:27" ht="25.5">
      <c r="A14" s="117">
        <v>103</v>
      </c>
      <c r="B14" s="118" t="s">
        <v>58</v>
      </c>
      <c r="C14" s="117" t="s">
        <v>99</v>
      </c>
      <c r="D14" s="119">
        <v>4300</v>
      </c>
      <c r="E14" s="98">
        <v>1.94</v>
      </c>
      <c r="F14" s="98">
        <f t="shared" si="0"/>
        <v>8342</v>
      </c>
      <c r="G14" s="126">
        <f t="shared" si="5"/>
        <v>0</v>
      </c>
      <c r="H14" s="98">
        <f t="shared" si="1"/>
        <v>0</v>
      </c>
      <c r="I14" s="101">
        <f t="shared" si="2"/>
        <v>0</v>
      </c>
      <c r="J14" s="98">
        <f t="shared" si="3"/>
        <v>0</v>
      </c>
      <c r="K14" s="99">
        <f t="shared" si="6"/>
        <v>4300</v>
      </c>
      <c r="L14" s="98">
        <f t="shared" si="4"/>
        <v>8342</v>
      </c>
      <c r="M14" s="116">
        <f t="shared" ref="M14:M55" si="7">(D14-I14)/D14</f>
        <v>1</v>
      </c>
      <c r="N14" s="183"/>
      <c r="O14" s="183"/>
      <c r="P14" s="183"/>
      <c r="Q14" s="172"/>
      <c r="R14" s="193"/>
      <c r="S14" s="166"/>
      <c r="T14" s="166"/>
      <c r="U14" s="166"/>
      <c r="V14" s="166"/>
      <c r="W14" s="166"/>
      <c r="X14" s="166"/>
      <c r="Y14" s="166"/>
      <c r="Z14" s="222"/>
      <c r="AA14" s="223">
        <f>L14</f>
        <v>8342</v>
      </c>
    </row>
    <row r="15" spans="1:27" ht="25.5">
      <c r="A15" s="117">
        <v>104</v>
      </c>
      <c r="B15" s="118" t="s">
        <v>59</v>
      </c>
      <c r="C15" s="117" t="s">
        <v>100</v>
      </c>
      <c r="D15" s="119">
        <v>1.32</v>
      </c>
      <c r="E15" s="98">
        <v>33.57</v>
      </c>
      <c r="F15" s="98">
        <f t="shared" si="0"/>
        <v>44.31</v>
      </c>
      <c r="G15" s="126">
        <f t="shared" si="5"/>
        <v>0</v>
      </c>
      <c r="H15" s="98">
        <f t="shared" si="1"/>
        <v>0</v>
      </c>
      <c r="I15" s="101">
        <f t="shared" si="2"/>
        <v>0</v>
      </c>
      <c r="J15" s="98">
        <f t="shared" si="3"/>
        <v>0</v>
      </c>
      <c r="K15" s="99">
        <f t="shared" si="6"/>
        <v>1.32</v>
      </c>
      <c r="L15" s="98">
        <f t="shared" si="4"/>
        <v>44.31</v>
      </c>
      <c r="M15" s="116">
        <f t="shared" si="7"/>
        <v>1</v>
      </c>
      <c r="N15" s="183"/>
      <c r="O15" s="183"/>
      <c r="P15" s="183"/>
      <c r="Q15" s="172"/>
      <c r="R15" s="193"/>
      <c r="S15" s="166"/>
      <c r="T15" s="166"/>
      <c r="U15" s="166"/>
      <c r="V15" s="166"/>
      <c r="W15" s="166"/>
      <c r="X15" s="166"/>
      <c r="Y15" s="166"/>
    </row>
    <row r="16" spans="1:27" ht="25.5">
      <c r="A16" s="117">
        <v>105</v>
      </c>
      <c r="B16" s="118" t="s">
        <v>60</v>
      </c>
      <c r="C16" s="117" t="s">
        <v>100</v>
      </c>
      <c r="D16" s="119">
        <v>220</v>
      </c>
      <c r="E16" s="98">
        <v>35.14</v>
      </c>
      <c r="F16" s="98">
        <f t="shared" si="0"/>
        <v>7730.8</v>
      </c>
      <c r="G16" s="126">
        <f t="shared" si="5"/>
        <v>14.46</v>
      </c>
      <c r="H16" s="98">
        <f t="shared" si="1"/>
        <v>508.12</v>
      </c>
      <c r="I16" s="101">
        <f t="shared" si="2"/>
        <v>42.359620999999997</v>
      </c>
      <c r="J16" s="98">
        <f t="shared" si="3"/>
        <v>1488.51</v>
      </c>
      <c r="K16" s="99">
        <f t="shared" si="6"/>
        <v>177.640379</v>
      </c>
      <c r="L16" s="98">
        <f t="shared" si="4"/>
        <v>6242.28</v>
      </c>
      <c r="M16" s="116">
        <f t="shared" si="7"/>
        <v>0.80745626818181815</v>
      </c>
      <c r="N16" s="183">
        <v>2.641896</v>
      </c>
      <c r="O16" s="183">
        <v>12.79</v>
      </c>
      <c r="P16" s="183">
        <v>7.72</v>
      </c>
      <c r="Q16" s="172">
        <v>4.7477249999999991</v>
      </c>
      <c r="R16" s="193">
        <f>'105'!C19</f>
        <v>14.46</v>
      </c>
      <c r="S16" s="166"/>
      <c r="T16" s="166"/>
      <c r="U16" s="166"/>
      <c r="V16" s="166"/>
      <c r="W16" s="166"/>
      <c r="X16" s="166"/>
      <c r="Y16" s="166"/>
    </row>
    <row r="17" spans="1:29" ht="25.5">
      <c r="A17" s="117">
        <v>106</v>
      </c>
      <c r="B17" s="118" t="s">
        <v>61</v>
      </c>
      <c r="C17" s="117" t="s">
        <v>99</v>
      </c>
      <c r="D17" s="119">
        <v>287.10000000000002</v>
      </c>
      <c r="E17" s="98">
        <v>97.42</v>
      </c>
      <c r="F17" s="98">
        <f t="shared" si="0"/>
        <v>27969.279999999999</v>
      </c>
      <c r="G17" s="126">
        <f t="shared" si="5"/>
        <v>15.549999999999997</v>
      </c>
      <c r="H17" s="98">
        <f t="shared" si="1"/>
        <v>1514.88</v>
      </c>
      <c r="I17" s="101">
        <f t="shared" si="2"/>
        <v>115.57500000000002</v>
      </c>
      <c r="J17" s="98">
        <f t="shared" si="3"/>
        <v>11259.31</v>
      </c>
      <c r="K17" s="99">
        <f t="shared" si="6"/>
        <v>171.52500000000001</v>
      </c>
      <c r="L17" s="98">
        <f t="shared" si="4"/>
        <v>16709.96</v>
      </c>
      <c r="M17" s="116">
        <f t="shared" si="7"/>
        <v>0.59743991640543359</v>
      </c>
      <c r="N17" s="183">
        <v>92.625000000000014</v>
      </c>
      <c r="O17" s="183">
        <v>0</v>
      </c>
      <c r="P17" s="183"/>
      <c r="Q17" s="172">
        <v>7.4</v>
      </c>
      <c r="R17" s="193">
        <f>'106'!C19</f>
        <v>15.549999999999997</v>
      </c>
      <c r="S17" s="166"/>
      <c r="T17" s="166"/>
      <c r="U17" s="166"/>
      <c r="V17" s="166"/>
      <c r="W17" s="166"/>
      <c r="X17" s="166"/>
      <c r="Y17" s="166"/>
    </row>
    <row r="18" spans="1:29">
      <c r="A18" s="117">
        <v>107</v>
      </c>
      <c r="B18" s="118" t="s">
        <v>62</v>
      </c>
      <c r="C18" s="117" t="s">
        <v>99</v>
      </c>
      <c r="D18" s="119">
        <v>7000</v>
      </c>
      <c r="E18" s="98">
        <v>19.59</v>
      </c>
      <c r="F18" s="98">
        <f t="shared" si="0"/>
        <v>137130</v>
      </c>
      <c r="G18" s="126">
        <f t="shared" si="5"/>
        <v>480.5</v>
      </c>
      <c r="H18" s="98">
        <f t="shared" si="1"/>
        <v>9412.99</v>
      </c>
      <c r="I18" s="101">
        <f t="shared" si="2"/>
        <v>4233.1868000000004</v>
      </c>
      <c r="J18" s="98">
        <f t="shared" si="3"/>
        <v>82928.12</v>
      </c>
      <c r="K18" s="99">
        <f t="shared" si="6"/>
        <v>2766.8131999999996</v>
      </c>
      <c r="L18" s="98">
        <f t="shared" si="4"/>
        <v>54201.87</v>
      </c>
      <c r="M18" s="116">
        <f t="shared" si="7"/>
        <v>0.39525902857142853</v>
      </c>
      <c r="N18" s="183">
        <v>2317.0776300000002</v>
      </c>
      <c r="O18" s="183"/>
      <c r="P18" s="183">
        <v>1435.6091700000002</v>
      </c>
      <c r="Q18" s="172"/>
      <c r="R18" s="193">
        <f>'107'!C19</f>
        <v>480.5</v>
      </c>
      <c r="S18" s="166"/>
      <c r="T18" s="166"/>
      <c r="U18" s="166"/>
      <c r="V18" s="166"/>
      <c r="W18" s="166"/>
      <c r="X18" s="166"/>
      <c r="Y18" s="166"/>
    </row>
    <row r="19" spans="1:29" ht="38.25">
      <c r="A19" s="117">
        <v>108</v>
      </c>
      <c r="B19" s="118" t="s">
        <v>63</v>
      </c>
      <c r="C19" s="117" t="s">
        <v>101</v>
      </c>
      <c r="D19" s="119">
        <v>1200</v>
      </c>
      <c r="E19" s="98">
        <v>1.1399999999999999</v>
      </c>
      <c r="F19" s="98">
        <f t="shared" si="0"/>
        <v>1368</v>
      </c>
      <c r="G19" s="126">
        <f t="shared" si="5"/>
        <v>168.84</v>
      </c>
      <c r="H19" s="98">
        <f t="shared" si="1"/>
        <v>192.47</v>
      </c>
      <c r="I19" s="101">
        <f t="shared" si="2"/>
        <v>844.2</v>
      </c>
      <c r="J19" s="98">
        <f t="shared" si="3"/>
        <v>962.38</v>
      </c>
      <c r="K19" s="99">
        <f t="shared" si="6"/>
        <v>355.79999999999995</v>
      </c>
      <c r="L19" s="98">
        <f t="shared" si="4"/>
        <v>405.61</v>
      </c>
      <c r="M19" s="116">
        <f t="shared" si="7"/>
        <v>0.29649999999999999</v>
      </c>
      <c r="N19" s="183">
        <v>168.84</v>
      </c>
      <c r="O19" s="183">
        <v>168.84</v>
      </c>
      <c r="P19" s="183">
        <v>168.84</v>
      </c>
      <c r="Q19" s="172">
        <v>168.84</v>
      </c>
      <c r="R19" s="193">
        <f>'108'!C19</f>
        <v>168.84</v>
      </c>
      <c r="S19" s="166"/>
      <c r="T19" s="166"/>
      <c r="U19" s="166"/>
      <c r="V19" s="166"/>
      <c r="W19" s="166"/>
      <c r="X19" s="166"/>
      <c r="Y19" s="166"/>
    </row>
    <row r="20" spans="1:29" ht="63" customHeight="1">
      <c r="A20" s="117">
        <v>109</v>
      </c>
      <c r="B20" s="118" t="s">
        <v>64</v>
      </c>
      <c r="C20" s="117" t="s">
        <v>99</v>
      </c>
      <c r="D20" s="119">
        <v>1200</v>
      </c>
      <c r="E20" s="98">
        <v>8.06</v>
      </c>
      <c r="F20" s="98">
        <f t="shared" si="0"/>
        <v>9672</v>
      </c>
      <c r="G20" s="126">
        <f t="shared" si="5"/>
        <v>168.84</v>
      </c>
      <c r="H20" s="98">
        <f t="shared" si="1"/>
        <v>1360.85</v>
      </c>
      <c r="I20" s="101">
        <f t="shared" si="2"/>
        <v>844.2</v>
      </c>
      <c r="J20" s="98">
        <f t="shared" si="3"/>
        <v>6804.25</v>
      </c>
      <c r="K20" s="99">
        <f t="shared" si="6"/>
        <v>355.79999999999995</v>
      </c>
      <c r="L20" s="98">
        <f t="shared" si="4"/>
        <v>2867.74</v>
      </c>
      <c r="M20" s="116">
        <f t="shared" si="7"/>
        <v>0.29649999999999999</v>
      </c>
      <c r="N20" s="183">
        <v>168.84</v>
      </c>
      <c r="O20" s="183">
        <v>168.84</v>
      </c>
      <c r="P20" s="183">
        <v>168.84</v>
      </c>
      <c r="Q20" s="172">
        <v>168.84</v>
      </c>
      <c r="R20" s="193">
        <f>'109'!C19</f>
        <v>168.84</v>
      </c>
      <c r="S20" s="166"/>
      <c r="T20" s="166"/>
      <c r="U20" s="166"/>
      <c r="V20" s="166"/>
      <c r="W20" s="166"/>
      <c r="X20" s="166"/>
      <c r="Y20" s="166"/>
    </row>
    <row r="21" spans="1:29" ht="39" customHeight="1">
      <c r="A21" s="117">
        <v>110</v>
      </c>
      <c r="B21" s="118" t="s">
        <v>65</v>
      </c>
      <c r="C21" s="117" t="s">
        <v>10</v>
      </c>
      <c r="D21" s="173">
        <v>3</v>
      </c>
      <c r="E21" s="98">
        <v>1137.42</v>
      </c>
      <c r="F21" s="98">
        <f t="shared" si="0"/>
        <v>3412.26</v>
      </c>
      <c r="G21" s="126">
        <f t="shared" si="5"/>
        <v>0</v>
      </c>
      <c r="H21" s="98">
        <f t="shared" si="1"/>
        <v>0</v>
      </c>
      <c r="I21" s="101">
        <f t="shared" si="2"/>
        <v>3</v>
      </c>
      <c r="J21" s="98">
        <f t="shared" si="3"/>
        <v>3412.26</v>
      </c>
      <c r="K21" s="99">
        <f t="shared" si="6"/>
        <v>0</v>
      </c>
      <c r="L21" s="98">
        <f t="shared" si="4"/>
        <v>0</v>
      </c>
      <c r="M21" s="116">
        <f t="shared" si="7"/>
        <v>0</v>
      </c>
      <c r="N21" s="183">
        <v>3</v>
      </c>
      <c r="O21" s="183">
        <v>0</v>
      </c>
      <c r="P21" s="183">
        <v>0</v>
      </c>
      <c r="Q21" s="172">
        <v>0</v>
      </c>
      <c r="R21" s="193"/>
      <c r="S21" s="166"/>
      <c r="T21" s="166"/>
      <c r="U21" s="166"/>
      <c r="V21" s="166"/>
      <c r="W21" s="166"/>
      <c r="X21" s="166"/>
      <c r="Y21" s="166"/>
    </row>
    <row r="22" spans="1:29" ht="51">
      <c r="A22" s="117">
        <v>111</v>
      </c>
      <c r="B22" s="118" t="s">
        <v>66</v>
      </c>
      <c r="C22" s="117" t="s">
        <v>102</v>
      </c>
      <c r="D22" s="173">
        <v>18</v>
      </c>
      <c r="E22" s="98">
        <v>774.87</v>
      </c>
      <c r="F22" s="98">
        <f t="shared" si="0"/>
        <v>13947.66</v>
      </c>
      <c r="G22" s="126">
        <f t="shared" si="5"/>
        <v>1</v>
      </c>
      <c r="H22" s="98">
        <f t="shared" si="1"/>
        <v>774.87</v>
      </c>
      <c r="I22" s="101">
        <f t="shared" si="2"/>
        <v>3</v>
      </c>
      <c r="J22" s="98">
        <f t="shared" si="3"/>
        <v>2324.61</v>
      </c>
      <c r="K22" s="99">
        <f t="shared" si="6"/>
        <v>15</v>
      </c>
      <c r="L22" s="98">
        <f t="shared" si="4"/>
        <v>11623.05</v>
      </c>
      <c r="M22" s="116">
        <f t="shared" si="7"/>
        <v>0.83333333333333337</v>
      </c>
      <c r="N22" s="183"/>
      <c r="O22" s="183"/>
      <c r="P22" s="183">
        <v>1</v>
      </c>
      <c r="Q22" s="172">
        <v>1</v>
      </c>
      <c r="R22" s="193">
        <v>1</v>
      </c>
      <c r="S22" s="166"/>
      <c r="T22" s="166"/>
      <c r="U22" s="166"/>
      <c r="V22" s="166"/>
      <c r="W22" s="166"/>
      <c r="X22" s="166"/>
      <c r="Y22" s="166"/>
    </row>
    <row r="23" spans="1:29" ht="38.25">
      <c r="A23" s="117">
        <v>112</v>
      </c>
      <c r="B23" s="118" t="s">
        <v>67</v>
      </c>
      <c r="C23" s="117" t="s">
        <v>102</v>
      </c>
      <c r="D23" s="173">
        <v>18</v>
      </c>
      <c r="E23" s="98">
        <v>334.35</v>
      </c>
      <c r="F23" s="98">
        <f t="shared" si="0"/>
        <v>6018.3</v>
      </c>
      <c r="G23" s="126">
        <f t="shared" si="5"/>
        <v>0</v>
      </c>
      <c r="H23" s="98">
        <f t="shared" si="1"/>
        <v>0</v>
      </c>
      <c r="I23" s="101">
        <f t="shared" si="2"/>
        <v>18</v>
      </c>
      <c r="J23" s="98">
        <f t="shared" si="3"/>
        <v>6018.3</v>
      </c>
      <c r="K23" s="99">
        <f t="shared" si="6"/>
        <v>0</v>
      </c>
      <c r="L23" s="98">
        <f t="shared" si="4"/>
        <v>0</v>
      </c>
      <c r="M23" s="116">
        <f t="shared" si="7"/>
        <v>0</v>
      </c>
      <c r="N23" s="183">
        <v>3</v>
      </c>
      <c r="O23" s="183">
        <v>8</v>
      </c>
      <c r="P23" s="183">
        <v>8</v>
      </c>
      <c r="Q23" s="172">
        <v>-1</v>
      </c>
      <c r="R23" s="193"/>
      <c r="S23" s="166"/>
      <c r="T23" s="166"/>
      <c r="U23" s="166"/>
      <c r="V23" s="166"/>
      <c r="W23" s="166"/>
      <c r="X23" s="166"/>
      <c r="Y23" s="166"/>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183"/>
      <c r="O24" s="183"/>
      <c r="P24" s="183"/>
      <c r="Q24" s="172"/>
      <c r="R24" s="193"/>
      <c r="S24" s="166"/>
      <c r="T24" s="166"/>
      <c r="U24" s="166"/>
      <c r="V24" s="166"/>
      <c r="W24" s="166"/>
      <c r="X24" s="166"/>
      <c r="Y24" s="166"/>
    </row>
    <row r="25" spans="1:29">
      <c r="A25" s="117">
        <v>114</v>
      </c>
      <c r="B25" s="118" t="s">
        <v>69</v>
      </c>
      <c r="C25" s="117" t="s">
        <v>10</v>
      </c>
      <c r="D25" s="119">
        <v>1</v>
      </c>
      <c r="E25" s="98">
        <v>130913.09</v>
      </c>
      <c r="F25" s="98">
        <f t="shared" si="0"/>
        <v>130913.09</v>
      </c>
      <c r="G25" s="126">
        <f t="shared" si="5"/>
        <v>0.08</v>
      </c>
      <c r="H25" s="98">
        <f t="shared" si="1"/>
        <v>10473.040000000001</v>
      </c>
      <c r="I25" s="101">
        <f t="shared" si="2"/>
        <v>0.39999999999999003</v>
      </c>
      <c r="J25" s="98">
        <f t="shared" si="3"/>
        <v>52365.23</v>
      </c>
      <c r="K25" s="99">
        <f t="shared" si="6"/>
        <v>0.60000000000000997</v>
      </c>
      <c r="L25" s="98">
        <f t="shared" si="4"/>
        <v>78547.850000000006</v>
      </c>
      <c r="M25" s="116">
        <f t="shared" si="7"/>
        <v>0.60000000000000997</v>
      </c>
      <c r="N25" s="183">
        <v>8.3333333333329998E-2</v>
      </c>
      <c r="O25" s="183">
        <v>8.3333333333329998E-2</v>
      </c>
      <c r="P25" s="183">
        <v>8.3333333333329998E-2</v>
      </c>
      <c r="Q25" s="172">
        <v>7.0000000000000007E-2</v>
      </c>
      <c r="R25" s="193">
        <f>'114'!C19</f>
        <v>0.08</v>
      </c>
      <c r="S25" s="166"/>
      <c r="T25" s="166"/>
      <c r="U25" s="166"/>
      <c r="V25" s="166"/>
      <c r="W25" s="166"/>
      <c r="X25" s="166"/>
      <c r="Y25" s="166"/>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183">
        <v>13</v>
      </c>
      <c r="O26" s="183">
        <v>7</v>
      </c>
      <c r="P26" s="183">
        <v>0</v>
      </c>
      <c r="Q26" s="172">
        <v>0</v>
      </c>
      <c r="R26" s="193"/>
      <c r="S26" s="166"/>
      <c r="T26" s="166"/>
      <c r="U26" s="166"/>
      <c r="V26" s="166"/>
      <c r="W26" s="166"/>
      <c r="X26" s="166"/>
      <c r="Y26" s="166"/>
    </row>
    <row r="27" spans="1:29">
      <c r="A27" s="111">
        <v>2</v>
      </c>
      <c r="B27" s="112" t="s">
        <v>71</v>
      </c>
      <c r="C27" s="112"/>
      <c r="D27" s="113"/>
      <c r="E27" s="114"/>
      <c r="F27" s="114">
        <f>SUM(F28:F38)</f>
        <v>1113209.6499999999</v>
      </c>
      <c r="G27" s="115"/>
      <c r="H27" s="97">
        <f>TRUNC(SUM(H28:H38),2)</f>
        <v>108054.38</v>
      </c>
      <c r="I27" s="97"/>
      <c r="J27" s="97">
        <f>TRUNC(SUM(J28:J38),2)</f>
        <v>353088.88</v>
      </c>
      <c r="K27" s="192"/>
      <c r="L27" s="97">
        <f>TRUNC(SUM(L28:L38),2)</f>
        <v>760120.72</v>
      </c>
      <c r="M27" s="116"/>
      <c r="N27" s="210"/>
      <c r="O27" s="210"/>
      <c r="P27" s="210"/>
      <c r="Q27" s="211"/>
      <c r="R27" s="211"/>
      <c r="S27" s="212"/>
      <c r="T27" s="212"/>
      <c r="U27" s="212"/>
      <c r="V27" s="212"/>
      <c r="W27" s="212"/>
      <c r="X27" s="212"/>
      <c r="Y27" s="212"/>
      <c r="AA27" s="224">
        <f>TRUNC(SUM(AA28:AA38),2)</f>
        <v>250270</v>
      </c>
    </row>
    <row r="28" spans="1:29" ht="63.75">
      <c r="A28" s="117">
        <v>201</v>
      </c>
      <c r="B28" s="118" t="s">
        <v>72</v>
      </c>
      <c r="C28" s="117" t="s">
        <v>99</v>
      </c>
      <c r="D28" s="119">
        <v>4300</v>
      </c>
      <c r="E28" s="98">
        <v>5.3</v>
      </c>
      <c r="F28" s="98">
        <f t="shared" ref="F28:F38" si="8">TRUNC(D28 * E28, 2)</f>
        <v>22790</v>
      </c>
      <c r="G28" s="126">
        <f t="shared" si="5"/>
        <v>642.59730000000013</v>
      </c>
      <c r="H28" s="98">
        <f t="shared" ref="H28:H38" si="9">TRUNC(G28*E28,2)</f>
        <v>3405.76</v>
      </c>
      <c r="I28" s="99">
        <f t="shared" ref="I28:I38" si="10">SUM(N28:Y28)</f>
        <v>1926.5073</v>
      </c>
      <c r="J28" s="98">
        <f t="shared" ref="J28:J38" si="11">TRUNC(I28*E28,2)</f>
        <v>10210.48</v>
      </c>
      <c r="K28" s="99">
        <f t="shared" si="6"/>
        <v>2373.4926999999998</v>
      </c>
      <c r="L28" s="98">
        <f t="shared" ref="L28:L38" si="12">TRUNC(K28*E28,2)</f>
        <v>12579.51</v>
      </c>
      <c r="M28" s="116">
        <f t="shared" si="7"/>
        <v>0.55197504651162788</v>
      </c>
      <c r="N28" s="183"/>
      <c r="O28" s="183">
        <v>725.8</v>
      </c>
      <c r="P28" s="183"/>
      <c r="Q28" s="172">
        <v>558.1099999999999</v>
      </c>
      <c r="R28" s="194">
        <f>'201'!C19</f>
        <v>642.59730000000013</v>
      </c>
      <c r="S28" s="166"/>
      <c r="T28" s="166"/>
      <c r="U28" s="166"/>
      <c r="V28" s="166"/>
      <c r="W28" s="166"/>
      <c r="X28" s="166"/>
      <c r="Y28" s="166"/>
      <c r="Z28" s="222" t="e">
        <f>((#REF!-$Z$12)-I28)/(#REF!-$Z$12)</f>
        <v>#REF!</v>
      </c>
      <c r="AA28" s="223">
        <f>1000*E28</f>
        <v>5300</v>
      </c>
    </row>
    <row r="29" spans="1:29" ht="75" customHeight="1">
      <c r="A29" s="117">
        <v>202</v>
      </c>
      <c r="B29" s="118" t="s">
        <v>73</v>
      </c>
      <c r="C29" s="117" t="s">
        <v>99</v>
      </c>
      <c r="D29" s="119">
        <v>4300</v>
      </c>
      <c r="E29" s="98">
        <v>51.11</v>
      </c>
      <c r="F29" s="98">
        <f t="shared" si="8"/>
        <v>219773</v>
      </c>
      <c r="G29" s="126">
        <f t="shared" si="5"/>
        <v>484.98849999999993</v>
      </c>
      <c r="H29" s="98">
        <f t="shared" si="9"/>
        <v>24787.759999999998</v>
      </c>
      <c r="I29" s="99">
        <f t="shared" si="10"/>
        <v>1552.7684999999999</v>
      </c>
      <c r="J29" s="98">
        <f t="shared" si="11"/>
        <v>79361.990000000005</v>
      </c>
      <c r="K29" s="99">
        <f t="shared" si="6"/>
        <v>2747.2314999999999</v>
      </c>
      <c r="L29" s="98">
        <f t="shared" si="12"/>
        <v>140411</v>
      </c>
      <c r="M29" s="116">
        <f t="shared" si="7"/>
        <v>0.63889104651162787</v>
      </c>
      <c r="N29" s="183"/>
      <c r="O29" s="183">
        <v>681.34</v>
      </c>
      <c r="P29" s="183"/>
      <c r="Q29" s="172">
        <v>386.43999999999994</v>
      </c>
      <c r="R29" s="194">
        <f>'202'!C19</f>
        <v>484.98849999999993</v>
      </c>
      <c r="S29" s="166"/>
      <c r="T29" s="166"/>
      <c r="U29" s="166"/>
      <c r="V29" s="166"/>
      <c r="W29" s="166"/>
      <c r="X29" s="166"/>
      <c r="Y29" s="166"/>
      <c r="Z29" s="222" t="e">
        <f>((#REF!-$Z$12)-I29)/(#REF!-$Z$12)</f>
        <v>#REF!</v>
      </c>
      <c r="AA29" s="223">
        <f>1000*E29</f>
        <v>51110</v>
      </c>
      <c r="AC29" s="227">
        <f>I29/3300</f>
        <v>0.47053590909090909</v>
      </c>
    </row>
    <row r="30" spans="1:29">
      <c r="A30" s="117">
        <v>203</v>
      </c>
      <c r="B30" s="118" t="s">
        <v>201</v>
      </c>
      <c r="C30" s="117" t="s">
        <v>5</v>
      </c>
      <c r="D30" s="119">
        <v>950</v>
      </c>
      <c r="E30" s="98">
        <v>46.41</v>
      </c>
      <c r="F30" s="98">
        <f t="shared" si="8"/>
        <v>44089.5</v>
      </c>
      <c r="G30" s="126">
        <f t="shared" si="5"/>
        <v>22.949999999999989</v>
      </c>
      <c r="H30" s="98">
        <f t="shared" si="9"/>
        <v>1065.0999999999999</v>
      </c>
      <c r="I30" s="99">
        <f t="shared" si="10"/>
        <v>258.29999999999995</v>
      </c>
      <c r="J30" s="98">
        <f t="shared" si="11"/>
        <v>11987.7</v>
      </c>
      <c r="K30" s="99">
        <f t="shared" si="6"/>
        <v>691.7</v>
      </c>
      <c r="L30" s="98">
        <f t="shared" si="12"/>
        <v>32101.79</v>
      </c>
      <c r="M30" s="116">
        <f t="shared" si="7"/>
        <v>0.72810526315789481</v>
      </c>
      <c r="N30" s="183"/>
      <c r="O30" s="183">
        <v>235.35</v>
      </c>
      <c r="P30" s="183"/>
      <c r="Q30" s="172"/>
      <c r="R30" s="194">
        <f>'203'!C19</f>
        <v>22.949999999999989</v>
      </c>
      <c r="S30" s="166"/>
      <c r="T30" s="166"/>
      <c r="U30" s="166"/>
      <c r="V30" s="166"/>
      <c r="W30" s="166"/>
      <c r="X30" s="166"/>
      <c r="Y30" s="166"/>
      <c r="Z30" s="222"/>
    </row>
    <row r="31" spans="1:29" ht="38.25">
      <c r="A31" s="117">
        <v>204</v>
      </c>
      <c r="B31" s="118" t="s">
        <v>74</v>
      </c>
      <c r="C31" s="117" t="s">
        <v>99</v>
      </c>
      <c r="D31" s="119">
        <v>4150</v>
      </c>
      <c r="E31" s="98">
        <v>178.45</v>
      </c>
      <c r="F31" s="98">
        <f t="shared" si="8"/>
        <v>740567.5</v>
      </c>
      <c r="G31" s="126">
        <f t="shared" si="5"/>
        <v>425.21999999999991</v>
      </c>
      <c r="H31" s="98">
        <f t="shared" si="9"/>
        <v>75880.5</v>
      </c>
      <c r="I31" s="99">
        <f t="shared" si="10"/>
        <v>1328.87</v>
      </c>
      <c r="J31" s="98">
        <f t="shared" si="11"/>
        <v>237136.85</v>
      </c>
      <c r="K31" s="99">
        <f t="shared" si="6"/>
        <v>2821.13</v>
      </c>
      <c r="L31" s="98">
        <f t="shared" si="12"/>
        <v>503430.64</v>
      </c>
      <c r="M31" s="116">
        <f t="shared" si="7"/>
        <v>0.6797903614457832</v>
      </c>
      <c r="N31" s="183"/>
      <c r="O31" s="183"/>
      <c r="P31" s="183">
        <v>534.9</v>
      </c>
      <c r="Q31" s="172">
        <v>368.75</v>
      </c>
      <c r="R31" s="194">
        <f>'204'!C19</f>
        <v>425.21999999999991</v>
      </c>
      <c r="S31" s="166"/>
      <c r="T31" s="166"/>
      <c r="U31" s="166"/>
      <c r="V31" s="166"/>
      <c r="W31" s="166"/>
      <c r="X31" s="166"/>
      <c r="Y31" s="166"/>
      <c r="Z31" s="222" t="e">
        <f>((#REF!-$Z$12)-I31)/(#REF!-$Z$12)</f>
        <v>#REF!</v>
      </c>
      <c r="AA31" s="224">
        <f>1000*E31</f>
        <v>178450</v>
      </c>
      <c r="AC31" s="227">
        <f>I31/3300</f>
        <v>0.40268787878787876</v>
      </c>
    </row>
    <row r="32" spans="1:29" ht="51">
      <c r="A32" s="117">
        <v>205</v>
      </c>
      <c r="B32" s="118" t="s">
        <v>75</v>
      </c>
      <c r="C32" s="117" t="s">
        <v>99</v>
      </c>
      <c r="D32" s="119">
        <v>4150</v>
      </c>
      <c r="E32" s="98">
        <v>15.41</v>
      </c>
      <c r="F32" s="98">
        <f t="shared" si="8"/>
        <v>63951.5</v>
      </c>
      <c r="G32" s="126">
        <f t="shared" si="5"/>
        <v>189.18</v>
      </c>
      <c r="H32" s="98">
        <f t="shared" si="9"/>
        <v>2915.26</v>
      </c>
      <c r="I32" s="99">
        <f t="shared" si="10"/>
        <v>933.93000000000006</v>
      </c>
      <c r="J32" s="98">
        <f t="shared" si="11"/>
        <v>14391.86</v>
      </c>
      <c r="K32" s="99">
        <f t="shared" si="6"/>
        <v>3216.0699999999997</v>
      </c>
      <c r="L32" s="98">
        <f t="shared" si="12"/>
        <v>49559.63</v>
      </c>
      <c r="M32" s="116">
        <f t="shared" si="7"/>
        <v>0.77495662650602404</v>
      </c>
      <c r="N32" s="183"/>
      <c r="O32" s="183"/>
      <c r="P32" s="183">
        <v>376</v>
      </c>
      <c r="Q32" s="172">
        <v>368.75</v>
      </c>
      <c r="R32" s="194">
        <f>'205'!C19</f>
        <v>189.18</v>
      </c>
      <c r="S32" s="166"/>
      <c r="T32" s="166"/>
      <c r="U32" s="166"/>
      <c r="V32" s="166"/>
      <c r="W32" s="166"/>
      <c r="X32" s="166"/>
      <c r="Y32" s="166"/>
      <c r="Z32" s="222" t="e">
        <f>((#REF!-$Z$12)-I32)/(#REF!-$Z$12)</f>
        <v>#REF!</v>
      </c>
      <c r="AA32" s="224">
        <f>1000*E32</f>
        <v>15410</v>
      </c>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183"/>
      <c r="O33" s="183"/>
      <c r="P33" s="183"/>
      <c r="Q33" s="172"/>
      <c r="R33" s="194"/>
      <c r="S33" s="166"/>
      <c r="T33" s="166"/>
      <c r="U33" s="166"/>
      <c r="V33" s="166"/>
      <c r="W33" s="166"/>
      <c r="X33" s="166"/>
      <c r="Y33" s="166"/>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183"/>
      <c r="O34" s="183"/>
      <c r="P34" s="183"/>
      <c r="Q34" s="172"/>
      <c r="R34" s="194"/>
      <c r="S34" s="166"/>
      <c r="T34" s="166"/>
      <c r="U34" s="166"/>
      <c r="V34" s="166"/>
      <c r="W34" s="166"/>
      <c r="X34" s="166"/>
      <c r="Y34" s="166"/>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183"/>
      <c r="O35" s="183"/>
      <c r="P35" s="183"/>
      <c r="Q35" s="172"/>
      <c r="R35" s="194"/>
      <c r="S35" s="166"/>
      <c r="T35" s="166"/>
      <c r="U35" s="166"/>
      <c r="V35" s="166"/>
      <c r="W35" s="166"/>
      <c r="X35" s="166"/>
      <c r="Y35" s="166"/>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183"/>
      <c r="O36" s="183"/>
      <c r="P36" s="183"/>
      <c r="Q36" s="172"/>
      <c r="R36" s="194"/>
      <c r="S36" s="166"/>
      <c r="T36" s="166"/>
      <c r="U36" s="166"/>
      <c r="V36" s="166"/>
      <c r="W36" s="166"/>
      <c r="X36" s="166"/>
      <c r="Y36" s="166"/>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183"/>
      <c r="O37" s="183"/>
      <c r="P37" s="183"/>
      <c r="Q37" s="172"/>
      <c r="R37" s="194"/>
      <c r="S37" s="166"/>
      <c r="T37" s="166"/>
      <c r="U37" s="166"/>
      <c r="V37" s="166"/>
      <c r="W37" s="166"/>
      <c r="X37" s="166"/>
      <c r="Y37" s="166"/>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183"/>
      <c r="O38" s="183"/>
      <c r="P38" s="183"/>
      <c r="Q38" s="172"/>
      <c r="R38" s="194"/>
      <c r="S38" s="166"/>
      <c r="T38" s="166"/>
      <c r="U38" s="166"/>
      <c r="V38" s="166"/>
      <c r="W38" s="166"/>
      <c r="X38" s="166"/>
      <c r="Y38" s="166"/>
    </row>
    <row r="39" spans="1:25">
      <c r="A39" s="111">
        <v>3</v>
      </c>
      <c r="B39" s="112" t="s">
        <v>82</v>
      </c>
      <c r="C39" s="112"/>
      <c r="D39" s="113"/>
      <c r="E39" s="114"/>
      <c r="F39" s="114">
        <f>SUM(F40:F45)</f>
        <v>175172.49000000002</v>
      </c>
      <c r="G39" s="115"/>
      <c r="H39" s="97">
        <f>TRUNC(SUM(H40:H45),2)</f>
        <v>0</v>
      </c>
      <c r="I39" s="97"/>
      <c r="J39" s="97">
        <f>TRUNC(SUM(J40:J45),2)</f>
        <v>0</v>
      </c>
      <c r="K39" s="191"/>
      <c r="L39" s="97">
        <f>TRUNC(SUM(L40:L45),2)</f>
        <v>175172.5</v>
      </c>
      <c r="M39" s="174"/>
      <c r="N39" s="210"/>
      <c r="O39" s="210"/>
      <c r="P39" s="210"/>
      <c r="Q39" s="211"/>
      <c r="R39" s="211"/>
      <c r="S39" s="212"/>
      <c r="T39" s="212"/>
      <c r="U39" s="212"/>
      <c r="V39" s="212"/>
      <c r="W39" s="212"/>
      <c r="X39" s="212"/>
      <c r="Y39" s="212"/>
    </row>
    <row r="40" spans="1:25">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183"/>
      <c r="O40" s="183"/>
      <c r="P40" s="183"/>
      <c r="Q40" s="172"/>
      <c r="R40" s="194"/>
      <c r="S40" s="166"/>
      <c r="T40" s="166"/>
      <c r="U40" s="166"/>
      <c r="V40" s="166"/>
      <c r="W40" s="166"/>
      <c r="X40" s="166"/>
      <c r="Y40" s="166"/>
    </row>
    <row r="41" spans="1:25" ht="38.25">
      <c r="A41" s="117">
        <v>302</v>
      </c>
      <c r="B41" s="118" t="s">
        <v>84</v>
      </c>
      <c r="C41" s="117" t="s">
        <v>99</v>
      </c>
      <c r="D41" s="119">
        <v>17.600000000000001</v>
      </c>
      <c r="E41" s="98">
        <v>380.81</v>
      </c>
      <c r="F41" s="98">
        <f t="shared" si="13"/>
        <v>6702.25</v>
      </c>
      <c r="G41" s="126">
        <f t="shared" si="5"/>
        <v>0</v>
      </c>
      <c r="H41" s="98">
        <f t="shared" si="14"/>
        <v>0</v>
      </c>
      <c r="I41" s="99">
        <f t="shared" si="15"/>
        <v>0</v>
      </c>
      <c r="J41" s="98">
        <f t="shared" si="16"/>
        <v>0</v>
      </c>
      <c r="K41" s="99">
        <f t="shared" si="6"/>
        <v>17.600000000000001</v>
      </c>
      <c r="L41" s="98">
        <f>TRUNC(K41*E41+0.01,2)</f>
        <v>6702.26</v>
      </c>
      <c r="M41" s="116">
        <f t="shared" si="7"/>
        <v>1</v>
      </c>
      <c r="N41" s="183"/>
      <c r="O41" s="183"/>
      <c r="P41" s="183"/>
      <c r="Q41" s="172"/>
      <c r="R41" s="194"/>
      <c r="S41" s="166"/>
      <c r="T41" s="166"/>
      <c r="U41" s="166"/>
      <c r="V41" s="166"/>
      <c r="W41" s="166"/>
      <c r="X41" s="166"/>
      <c r="Y41" s="166"/>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183"/>
      <c r="O42" s="183"/>
      <c r="P42" s="183"/>
      <c r="Q42" s="172"/>
      <c r="R42" s="194"/>
      <c r="S42" s="166"/>
      <c r="T42" s="166"/>
      <c r="U42" s="166"/>
      <c r="V42" s="166"/>
      <c r="W42" s="166"/>
      <c r="X42" s="166"/>
      <c r="Y42" s="166"/>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183"/>
      <c r="O43" s="183"/>
      <c r="P43" s="183"/>
      <c r="Q43" s="172"/>
      <c r="R43" s="194"/>
      <c r="S43" s="166"/>
      <c r="T43" s="166"/>
      <c r="U43" s="166"/>
      <c r="V43" s="166"/>
      <c r="W43" s="166"/>
      <c r="X43" s="166"/>
      <c r="Y43" s="166"/>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183"/>
      <c r="O44" s="183"/>
      <c r="P44" s="183"/>
      <c r="Q44" s="172"/>
      <c r="R44" s="194"/>
      <c r="S44" s="166"/>
      <c r="T44" s="166"/>
      <c r="U44" s="166"/>
      <c r="V44" s="166"/>
      <c r="W44" s="166"/>
      <c r="X44" s="166"/>
      <c r="Y44" s="166"/>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183"/>
      <c r="O45" s="183"/>
      <c r="P45" s="183"/>
      <c r="Q45" s="172"/>
      <c r="R45" s="194"/>
      <c r="S45" s="166"/>
      <c r="T45" s="166"/>
      <c r="U45" s="166"/>
      <c r="V45" s="166"/>
      <c r="W45" s="166"/>
      <c r="X45" s="166"/>
      <c r="Y45" s="166"/>
    </row>
    <row r="46" spans="1:25">
      <c r="A46" s="111">
        <v>4</v>
      </c>
      <c r="B46" s="112" t="s">
        <v>89</v>
      </c>
      <c r="C46" s="112"/>
      <c r="D46" s="113"/>
      <c r="E46" s="114"/>
      <c r="F46" s="114">
        <f>SUM(F47:F55)</f>
        <v>59525.200000000004</v>
      </c>
      <c r="G46" s="115"/>
      <c r="H46" s="97">
        <f>TRUNC(SUM(H47:H55),2)</f>
        <v>0</v>
      </c>
      <c r="I46" s="97"/>
      <c r="J46" s="97">
        <f>TRUNC(SUM(J47:J55),2)</f>
        <v>0</v>
      </c>
      <c r="K46" s="191"/>
      <c r="L46" s="97">
        <f>TRUNC(SUM(L47:L55),2)</f>
        <v>59525.2</v>
      </c>
      <c r="M46" s="174"/>
      <c r="N46" s="210"/>
      <c r="O46" s="210"/>
      <c r="P46" s="210"/>
      <c r="Q46" s="211"/>
      <c r="R46" s="211"/>
      <c r="S46" s="212"/>
      <c r="T46" s="212"/>
      <c r="U46" s="212"/>
      <c r="V46" s="212"/>
      <c r="W46" s="212"/>
      <c r="X46" s="212"/>
      <c r="Y46" s="212"/>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183"/>
      <c r="O47" s="183"/>
      <c r="P47" s="183"/>
      <c r="Q47" s="172"/>
      <c r="R47" s="194"/>
      <c r="S47" s="166"/>
      <c r="T47" s="166"/>
      <c r="U47" s="166"/>
      <c r="V47" s="166"/>
      <c r="W47" s="166"/>
      <c r="X47" s="166"/>
      <c r="Y47" s="166"/>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183"/>
      <c r="O48" s="183"/>
      <c r="P48" s="183"/>
      <c r="Q48" s="172"/>
      <c r="R48" s="194"/>
      <c r="S48" s="166"/>
      <c r="T48" s="166"/>
      <c r="U48" s="166"/>
      <c r="V48" s="166"/>
      <c r="W48" s="166"/>
      <c r="X48" s="166"/>
      <c r="Y48" s="166"/>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183"/>
      <c r="O49" s="183"/>
      <c r="P49" s="183"/>
      <c r="Q49" s="172"/>
      <c r="R49" s="194"/>
      <c r="S49" s="166"/>
      <c r="T49" s="166"/>
      <c r="U49" s="166"/>
      <c r="V49" s="166"/>
      <c r="W49" s="166"/>
      <c r="X49" s="166"/>
      <c r="Y49" s="166"/>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183"/>
      <c r="O50" s="183"/>
      <c r="P50" s="183"/>
      <c r="Q50" s="172"/>
      <c r="R50" s="194"/>
      <c r="S50" s="166"/>
      <c r="T50" s="166"/>
      <c r="U50" s="166"/>
      <c r="V50" s="166"/>
      <c r="W50" s="166"/>
      <c r="X50" s="166"/>
      <c r="Y50" s="166"/>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183"/>
      <c r="O51" s="183"/>
      <c r="P51" s="183"/>
      <c r="Q51" s="172"/>
      <c r="R51" s="194"/>
      <c r="S51" s="166"/>
      <c r="T51" s="166"/>
      <c r="U51" s="166"/>
      <c r="V51" s="166"/>
      <c r="W51" s="166"/>
      <c r="X51" s="166"/>
      <c r="Y51" s="166"/>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183"/>
      <c r="O52" s="183"/>
      <c r="P52" s="183"/>
      <c r="Q52" s="172"/>
      <c r="R52" s="194"/>
      <c r="S52" s="166"/>
      <c r="T52" s="166"/>
      <c r="U52" s="166"/>
      <c r="V52" s="166"/>
      <c r="W52" s="166"/>
      <c r="X52" s="166"/>
      <c r="Y52" s="166"/>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183"/>
      <c r="O53" s="183"/>
      <c r="P53" s="183"/>
      <c r="Q53" s="172"/>
      <c r="R53" s="194"/>
      <c r="S53" s="166"/>
      <c r="T53" s="166"/>
      <c r="U53" s="166"/>
      <c r="V53" s="166"/>
      <c r="W53" s="166"/>
      <c r="X53" s="166"/>
      <c r="Y53" s="166"/>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183"/>
      <c r="O54" s="183"/>
      <c r="P54" s="183"/>
      <c r="Q54" s="172"/>
      <c r="R54" s="194"/>
      <c r="S54" s="166"/>
      <c r="T54" s="166"/>
      <c r="U54" s="166"/>
      <c r="V54" s="166"/>
      <c r="W54" s="166"/>
      <c r="X54" s="166"/>
      <c r="Y54" s="166"/>
    </row>
    <row r="55" spans="1:27" ht="25.5">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183"/>
      <c r="O55" s="183"/>
      <c r="P55" s="183"/>
      <c r="Q55" s="172"/>
      <c r="R55" s="194"/>
      <c r="S55" s="166"/>
      <c r="T55" s="166"/>
      <c r="U55" s="166"/>
      <c r="V55" s="166"/>
      <c r="W55" s="166"/>
      <c r="X55" s="166"/>
      <c r="Y55" s="166"/>
    </row>
    <row r="56" spans="1:27" ht="16.5" customHeight="1">
      <c r="A56" s="248" t="s">
        <v>105</v>
      </c>
      <c r="B56" s="248"/>
      <c r="C56" s="248"/>
      <c r="D56" s="248"/>
      <c r="E56" s="248"/>
      <c r="F56" s="100">
        <f>SUM(F46,F39,F27,F11)</f>
        <v>1765148.5899999999</v>
      </c>
      <c r="G56" s="121"/>
      <c r="H56" s="100">
        <f>TRUNC(SUM(H46,H39,H27,H11),2)</f>
        <v>141410.04999999999</v>
      </c>
      <c r="I56" s="100"/>
      <c r="J56" s="100">
        <f>TRUNC(SUM(J46,J39,J27,J11),2)</f>
        <v>555751.29</v>
      </c>
      <c r="K56" s="191"/>
      <c r="L56" s="100">
        <f>TRUNC(SUM(L46,L39,L27,L11),2)</f>
        <v>1209397.19</v>
      </c>
      <c r="M56" s="174">
        <f>(F56-J56)/F56</f>
        <v>0.68515325386855952</v>
      </c>
      <c r="N56" s="210"/>
      <c r="O56" s="210"/>
      <c r="P56" s="210"/>
      <c r="Q56" s="211"/>
      <c r="R56" s="211"/>
      <c r="S56" s="212"/>
      <c r="T56" s="212"/>
      <c r="U56" s="212"/>
      <c r="V56" s="212"/>
      <c r="W56" s="212"/>
      <c r="X56" s="212"/>
      <c r="Y56" s="212"/>
      <c r="AA56" s="224" t="e">
        <f>TRUNC(SUM(AA46,AA39,AA27,AA11,#REF!),2)</f>
        <v>#REF!</v>
      </c>
    </row>
    <row r="57" spans="1:27" ht="16.5" customHeight="1">
      <c r="A57" s="248" t="s">
        <v>106</v>
      </c>
      <c r="B57" s="248"/>
      <c r="C57" s="248"/>
      <c r="D57" s="248"/>
      <c r="E57" s="248"/>
      <c r="F57" s="100">
        <f>TRUNC(F56*0.2502,2)</f>
        <v>441640.17</v>
      </c>
      <c r="G57" s="121"/>
      <c r="H57" s="100">
        <f>TRUNC(H56*0.2502,2)</f>
        <v>35380.79</v>
      </c>
      <c r="I57" s="100"/>
      <c r="J57" s="100">
        <f>TRUNC(J56*0.2502,2)</f>
        <v>139048.97</v>
      </c>
      <c r="K57" s="191"/>
      <c r="L57" s="100">
        <f>TRUNC(L56*0.2502,2)</f>
        <v>302591.17</v>
      </c>
      <c r="M57" s="174">
        <f t="shared" ref="M57:M58" si="22">(F57-J57)/F57</f>
        <v>0.68515325496772628</v>
      </c>
      <c r="N57" s="210"/>
      <c r="O57" s="210"/>
      <c r="P57" s="210"/>
      <c r="Q57" s="211"/>
      <c r="R57" s="211"/>
      <c r="S57" s="212"/>
      <c r="T57" s="212"/>
      <c r="U57" s="212"/>
      <c r="V57" s="212"/>
      <c r="W57" s="212"/>
      <c r="X57" s="212"/>
      <c r="Y57" s="212"/>
      <c r="AA57" s="224" t="e">
        <f>TRUNC(AA56*0.2502,2)</f>
        <v>#REF!</v>
      </c>
    </row>
    <row r="58" spans="1:27" ht="16.5" customHeight="1">
      <c r="A58" s="248" t="s">
        <v>107</v>
      </c>
      <c r="B58" s="248"/>
      <c r="C58" s="248"/>
      <c r="D58" s="248"/>
      <c r="E58" s="248"/>
      <c r="F58" s="100">
        <f>SUM(F56:F57)</f>
        <v>2206788.7599999998</v>
      </c>
      <c r="G58" s="121"/>
      <c r="H58" s="100">
        <f>TRUNC(SUM(H56:H57),2)</f>
        <v>176790.84</v>
      </c>
      <c r="I58" s="100"/>
      <c r="J58" s="100">
        <f>TRUNC(SUM(J56:J57),2)</f>
        <v>694800.26</v>
      </c>
      <c r="K58" s="191"/>
      <c r="L58" s="100">
        <f>TRUNC(SUM(L56:L57),2)</f>
        <v>1511988.36</v>
      </c>
      <c r="M58" s="174">
        <f t="shared" si="22"/>
        <v>0.68515325408853356</v>
      </c>
      <c r="N58" s="210"/>
      <c r="O58" s="210"/>
      <c r="P58" s="210"/>
      <c r="Q58" s="211"/>
      <c r="R58" s="211"/>
      <c r="S58" s="212"/>
      <c r="T58" s="212"/>
      <c r="U58" s="212"/>
      <c r="V58" s="212"/>
      <c r="W58" s="212"/>
      <c r="X58" s="212"/>
      <c r="Y58" s="212"/>
      <c r="AA58" s="224" t="e">
        <f>TRUNC(SUM(AA56:AA57),2)</f>
        <v>#REF!</v>
      </c>
    </row>
    <row r="59" spans="1:27" ht="90" customHeight="1">
      <c r="A59" s="242" t="s">
        <v>148</v>
      </c>
      <c r="B59" s="243"/>
      <c r="C59" s="243" t="s">
        <v>146</v>
      </c>
      <c r="D59" s="243"/>
      <c r="E59" s="243"/>
      <c r="F59" s="243"/>
      <c r="G59" s="243" t="s">
        <v>147</v>
      </c>
      <c r="H59" s="243"/>
      <c r="I59" s="243"/>
      <c r="J59" s="243" t="s">
        <v>203</v>
      </c>
      <c r="K59" s="243"/>
      <c r="L59" s="243"/>
      <c r="M59" s="249"/>
      <c r="Z59" s="226" t="s">
        <v>287</v>
      </c>
      <c r="AA59" s="225" t="e">
        <f>((#REF!-AA58)-J58)/(#REF!-AA58)</f>
        <v>#REF!</v>
      </c>
    </row>
  </sheetData>
  <mergeCells count="34">
    <mergeCell ref="X10:X11"/>
    <mergeCell ref="O10:O11"/>
    <mergeCell ref="P10:P11"/>
    <mergeCell ref="K8:M9"/>
    <mergeCell ref="N10:N11"/>
    <mergeCell ref="E8:E10"/>
    <mergeCell ref="W10:W11"/>
    <mergeCell ref="S10:S11"/>
    <mergeCell ref="T10:T11"/>
    <mergeCell ref="U10:U11"/>
    <mergeCell ref="V10:V11"/>
    <mergeCell ref="Q10:Q11"/>
    <mergeCell ref="R10:R11"/>
    <mergeCell ref="B2:M2"/>
    <mergeCell ref="B3:M3"/>
    <mergeCell ref="B4:M4"/>
    <mergeCell ref="B5:M5"/>
    <mergeCell ref="A6:M7"/>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 ref="F8:F10"/>
  </mergeCells>
  <phoneticPr fontId="54" type="noConversion"/>
  <pageMargins left="0.51181102362204722" right="0.51181102362204722" top="0.78740157480314965" bottom="0.78740157480314965" header="0.31496062992125984" footer="0.31496062992125984"/>
  <pageSetup paperSize="9" scale="40"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54"/>
  <sheetViews>
    <sheetView workbookViewId="0">
      <selection activeCell="F27" sqref="F27"/>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48" customHeight="1">
      <c r="A7" s="68">
        <v>112</v>
      </c>
      <c r="B7" s="279" t="s">
        <v>67</v>
      </c>
      <c r="C7" s="279"/>
      <c r="D7" s="279"/>
      <c r="E7" s="279"/>
      <c r="F7" s="279"/>
      <c r="G7" s="279"/>
      <c r="H7" s="297"/>
    </row>
    <row r="8" spans="1:8" ht="15.75" customHeight="1">
      <c r="A8" s="69"/>
      <c r="B8" s="278"/>
      <c r="C8" s="279"/>
      <c r="D8" s="279"/>
      <c r="E8" s="279"/>
      <c r="F8" s="279"/>
      <c r="G8" s="70" t="s">
        <v>125</v>
      </c>
      <c r="H8" s="90" t="s">
        <v>140</v>
      </c>
    </row>
    <row r="9" spans="1:8">
      <c r="A9" s="45"/>
      <c r="B9" s="46"/>
      <c r="C9" s="264"/>
      <c r="D9" s="264"/>
      <c r="E9" s="264"/>
      <c r="F9" s="47"/>
      <c r="G9" s="61"/>
      <c r="H9" s="48"/>
    </row>
    <row r="10" spans="1:8" ht="15.75">
      <c r="A10" s="49" t="s">
        <v>113</v>
      </c>
      <c r="B10" s="46"/>
      <c r="C10" s="281" t="s">
        <v>158</v>
      </c>
      <c r="D10" s="281"/>
      <c r="E10" s="61"/>
      <c r="F10" s="47"/>
      <c r="G10" s="61"/>
      <c r="H10" s="48"/>
    </row>
    <row r="11" spans="1:8" ht="15.75">
      <c r="A11" s="45"/>
      <c r="B11" s="73" t="s">
        <v>114</v>
      </c>
      <c r="C11" s="73"/>
      <c r="D11" s="73" t="s">
        <v>141</v>
      </c>
      <c r="E11" s="74" t="s">
        <v>44</v>
      </c>
      <c r="F11" s="74"/>
      <c r="G11" s="74" t="s">
        <v>9</v>
      </c>
      <c r="H11" s="48"/>
    </row>
    <row r="12" spans="1:8">
      <c r="A12" s="72"/>
      <c r="B12" s="75" t="s">
        <v>138</v>
      </c>
      <c r="C12" s="76"/>
      <c r="D12" s="157"/>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v>18</v>
      </c>
      <c r="D16" s="42"/>
      <c r="E16" s="93"/>
      <c r="F16" s="42"/>
      <c r="G16" s="42"/>
      <c r="H16" s="51"/>
    </row>
    <row r="17" spans="1:8" ht="15.75">
      <c r="A17" s="52"/>
      <c r="B17" s="79" t="s">
        <v>119</v>
      </c>
      <c r="C17" s="80">
        <f>C15-C16</f>
        <v>0</v>
      </c>
      <c r="D17" s="42"/>
      <c r="E17" s="93"/>
      <c r="F17" s="42"/>
      <c r="G17" s="42"/>
      <c r="H17" s="51"/>
    </row>
    <row r="18" spans="1:8" ht="15.75">
      <c r="A18" s="63"/>
      <c r="B18" s="79" t="s">
        <v>120</v>
      </c>
      <c r="C18" s="80"/>
      <c r="D18" s="42"/>
      <c r="E18" s="93"/>
      <c r="F18" s="42"/>
      <c r="G18" s="42"/>
      <c r="H18" s="51"/>
    </row>
    <row r="19" spans="1:8" ht="15.75">
      <c r="A19" s="63"/>
      <c r="B19" s="79" t="s">
        <v>121</v>
      </c>
      <c r="C19" s="80">
        <f>G13</f>
        <v>0</v>
      </c>
      <c r="D19" s="42"/>
      <c r="E19" s="93"/>
      <c r="F19" s="42"/>
      <c r="G19" s="42"/>
      <c r="H19" s="51"/>
    </row>
    <row r="20" spans="1:8">
      <c r="A20" s="63"/>
      <c r="H20" s="51"/>
    </row>
    <row r="21" spans="1:8" ht="15.75">
      <c r="A21" s="63"/>
      <c r="B21" s="139" t="s">
        <v>270</v>
      </c>
      <c r="C21" s="168" t="s">
        <v>272</v>
      </c>
      <c r="D21" s="168" t="s">
        <v>271</v>
      </c>
      <c r="E21" s="209" t="s">
        <v>260</v>
      </c>
      <c r="F21" s="168" t="s">
        <v>261</v>
      </c>
      <c r="H21" s="51"/>
    </row>
    <row r="22" spans="1:8" ht="15.75">
      <c r="A22" s="63"/>
      <c r="B22" s="139" t="s">
        <v>259</v>
      </c>
      <c r="C22" s="207" t="s">
        <v>263</v>
      </c>
      <c r="D22" s="170">
        <v>5</v>
      </c>
      <c r="E22" s="170">
        <v>3</v>
      </c>
      <c r="F22" s="170">
        <f>E22*D22</f>
        <v>15</v>
      </c>
      <c r="H22" s="51"/>
    </row>
    <row r="23" spans="1:8" ht="15.75">
      <c r="A23" s="63"/>
      <c r="B23" s="139" t="s">
        <v>262</v>
      </c>
      <c r="C23" s="207" t="s">
        <v>264</v>
      </c>
      <c r="D23" s="170">
        <v>4</v>
      </c>
      <c r="E23" s="170">
        <v>2</v>
      </c>
      <c r="F23" s="170">
        <f>E23*D23</f>
        <v>8</v>
      </c>
      <c r="H23" s="51"/>
    </row>
    <row r="24" spans="1:8" ht="15.75">
      <c r="A24" s="63"/>
      <c r="B24" s="139" t="s">
        <v>265</v>
      </c>
      <c r="C24" s="207" t="s">
        <v>267</v>
      </c>
      <c r="D24" s="170">
        <v>3</v>
      </c>
      <c r="E24" s="170">
        <v>3</v>
      </c>
      <c r="F24" s="170">
        <f>E24*D24</f>
        <v>9</v>
      </c>
      <c r="H24" s="51"/>
    </row>
    <row r="25" spans="1:8" ht="15.75">
      <c r="A25" s="45"/>
      <c r="B25" s="139" t="s">
        <v>266</v>
      </c>
      <c r="C25" s="208" t="s">
        <v>268</v>
      </c>
      <c r="D25" s="170">
        <v>1</v>
      </c>
      <c r="E25" s="170">
        <v>1</v>
      </c>
      <c r="F25" s="170">
        <f t="shared" ref="F25:F26" si="0">E25*D25</f>
        <v>1</v>
      </c>
      <c r="G25" s="42"/>
      <c r="H25" s="51"/>
    </row>
    <row r="26" spans="1:8" ht="15.75">
      <c r="A26" s="45"/>
      <c r="B26" s="139"/>
      <c r="C26" s="207" t="s">
        <v>269</v>
      </c>
      <c r="D26" s="170">
        <v>1</v>
      </c>
      <c r="E26" s="170">
        <v>4</v>
      </c>
      <c r="F26" s="170">
        <f t="shared" si="0"/>
        <v>4</v>
      </c>
      <c r="G26" s="42"/>
      <c r="H26" s="51"/>
    </row>
    <row r="27" spans="1:8" ht="15.75">
      <c r="A27" s="45"/>
      <c r="B27" s="139"/>
      <c r="C27" s="207"/>
      <c r="D27" s="170"/>
      <c r="E27" s="170" t="s">
        <v>9</v>
      </c>
      <c r="F27" s="170">
        <f>SUM(F22:F26)</f>
        <v>37</v>
      </c>
      <c r="G27" s="42"/>
      <c r="H27" s="51"/>
    </row>
    <row r="28" spans="1:8" ht="15.75">
      <c r="A28" s="45"/>
      <c r="B28" s="53"/>
      <c r="C28" s="205"/>
      <c r="D28" s="302" t="s">
        <v>273</v>
      </c>
      <c r="E28" s="302"/>
      <c r="F28" s="170">
        <v>18</v>
      </c>
      <c r="G28" s="42"/>
      <c r="H28" s="51"/>
    </row>
    <row r="29" spans="1:8" ht="15.75">
      <c r="A29" s="45"/>
      <c r="B29" s="53"/>
      <c r="C29" s="205"/>
      <c r="D29" s="302" t="s">
        <v>274</v>
      </c>
      <c r="E29" s="302"/>
      <c r="F29" s="170"/>
      <c r="G29" s="42"/>
      <c r="H29" s="51"/>
    </row>
    <row r="30" spans="1:8" ht="15.75">
      <c r="A30" s="45"/>
      <c r="B30" s="53"/>
      <c r="C30" s="42"/>
      <c r="D30" s="206"/>
      <c r="E30" s="206"/>
      <c r="F30" s="206"/>
      <c r="G30" s="42"/>
      <c r="H30" s="51"/>
    </row>
    <row r="31" spans="1:8" ht="15.75">
      <c r="A31" s="45"/>
      <c r="B31" s="53"/>
      <c r="C31" s="42"/>
      <c r="D31" s="206"/>
      <c r="E31" s="206"/>
      <c r="F31" s="206"/>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139</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2">
    <mergeCell ref="C9:E9"/>
    <mergeCell ref="C10:D10"/>
    <mergeCell ref="D36:F36"/>
    <mergeCell ref="A52:H52"/>
    <mergeCell ref="A2:H2"/>
    <mergeCell ref="A3:H3"/>
    <mergeCell ref="A4:H4"/>
    <mergeCell ref="B6:H6"/>
    <mergeCell ref="B7:H7"/>
    <mergeCell ref="B8:F8"/>
    <mergeCell ref="D28:E28"/>
    <mergeCell ref="D29:E29"/>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topLeftCell="A4" workbookViewId="0">
      <selection activeCell="Q53" sqref="Q53"/>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251</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c r="A7" s="68">
        <v>114</v>
      </c>
      <c r="B7" s="279" t="s">
        <v>143</v>
      </c>
      <c r="C7" s="279"/>
      <c r="D7" s="279"/>
      <c r="E7" s="279"/>
      <c r="F7" s="279"/>
      <c r="G7" s="279"/>
      <c r="H7" s="297"/>
    </row>
    <row r="8" spans="1:8" ht="15.75" customHeight="1">
      <c r="A8" s="69"/>
      <c r="B8" s="278"/>
      <c r="C8" s="279"/>
      <c r="D8" s="279"/>
      <c r="E8" s="279"/>
      <c r="F8" s="279"/>
      <c r="G8" s="70" t="s">
        <v>125</v>
      </c>
      <c r="H8" s="90" t="s">
        <v>140</v>
      </c>
    </row>
    <row r="9" spans="1:8">
      <c r="A9" s="45"/>
      <c r="B9" s="46"/>
      <c r="C9" s="264"/>
      <c r="D9" s="264"/>
      <c r="E9" s="264"/>
      <c r="F9" s="47"/>
      <c r="G9" s="61"/>
      <c r="H9" s="48"/>
    </row>
    <row r="10" spans="1:8" ht="15.75">
      <c r="A10" s="49" t="s">
        <v>113</v>
      </c>
      <c r="B10" s="46"/>
      <c r="C10" s="281"/>
      <c r="D10" s="281"/>
      <c r="E10" s="61"/>
      <c r="F10" s="47"/>
      <c r="G10" s="61"/>
      <c r="H10" s="48"/>
    </row>
    <row r="11" spans="1:8" ht="15.75">
      <c r="A11" s="45"/>
      <c r="B11" s="73" t="s">
        <v>114</v>
      </c>
      <c r="C11" s="73" t="s">
        <v>44</v>
      </c>
      <c r="D11" s="73" t="s">
        <v>275</v>
      </c>
      <c r="E11" s="74"/>
      <c r="F11" s="74" t="s">
        <v>298</v>
      </c>
      <c r="G11" s="74" t="s">
        <v>9</v>
      </c>
      <c r="H11" s="48"/>
    </row>
    <row r="12" spans="1:8">
      <c r="A12" s="72"/>
      <c r="B12" s="75" t="s">
        <v>152</v>
      </c>
      <c r="C12" s="76">
        <v>12</v>
      </c>
      <c r="D12" s="91">
        <v>1</v>
      </c>
      <c r="E12" s="77"/>
      <c r="F12" s="78">
        <v>1</v>
      </c>
      <c r="G12" s="78">
        <f>0.08*F12</f>
        <v>0.08</v>
      </c>
      <c r="H12" s="48"/>
    </row>
    <row r="13" spans="1:8" ht="15.75">
      <c r="A13" s="45"/>
      <c r="B13" s="87" t="s">
        <v>9</v>
      </c>
      <c r="C13" s="88"/>
      <c r="D13" s="88"/>
      <c r="E13" s="88"/>
      <c r="F13" s="88"/>
      <c r="G13" s="89">
        <f>SUM(G12:G12)</f>
        <v>0.08</v>
      </c>
      <c r="H13" s="48"/>
    </row>
    <row r="14" spans="1:8">
      <c r="A14" s="45"/>
      <c r="B14" s="42"/>
      <c r="C14" s="42"/>
      <c r="D14" s="42"/>
      <c r="E14" s="42"/>
      <c r="F14" s="42"/>
      <c r="G14" s="42"/>
      <c r="H14" s="48"/>
    </row>
    <row r="15" spans="1:8" ht="15.75">
      <c r="A15" s="50"/>
      <c r="B15" s="79" t="s">
        <v>117</v>
      </c>
      <c r="C15" s="80">
        <v>1</v>
      </c>
      <c r="D15" s="42"/>
      <c r="E15" s="42"/>
      <c r="F15" s="42"/>
      <c r="G15" s="42"/>
      <c r="H15" s="51"/>
    </row>
    <row r="16" spans="1:8" ht="15.75">
      <c r="A16" s="52"/>
      <c r="B16" s="79" t="s">
        <v>118</v>
      </c>
      <c r="C16" s="80">
        <f>0.32+0.08</f>
        <v>0.4</v>
      </c>
      <c r="D16" s="92"/>
      <c r="F16" s="42"/>
      <c r="G16" s="42"/>
      <c r="H16" s="51"/>
    </row>
    <row r="17" spans="1:8" ht="15.75">
      <c r="A17" s="52"/>
      <c r="B17" s="79" t="s">
        <v>119</v>
      </c>
      <c r="C17" s="80">
        <f>C15-C16</f>
        <v>0.6</v>
      </c>
      <c r="D17" s="42"/>
      <c r="E17" s="42"/>
      <c r="F17" s="42"/>
      <c r="G17" s="42"/>
      <c r="H17" s="51"/>
    </row>
    <row r="18" spans="1:8" ht="15.75">
      <c r="A18" s="63"/>
      <c r="B18" s="79" t="s">
        <v>120</v>
      </c>
      <c r="C18" s="80"/>
      <c r="D18" s="42"/>
      <c r="E18" s="42"/>
      <c r="F18" s="42"/>
      <c r="G18" s="42"/>
      <c r="H18" s="51"/>
    </row>
    <row r="19" spans="1:8" ht="15.75">
      <c r="A19" s="63"/>
      <c r="B19" s="79" t="s">
        <v>121</v>
      </c>
      <c r="C19" s="80">
        <f>G13</f>
        <v>0.08</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153</v>
      </c>
      <c r="B52" s="262"/>
      <c r="C52" s="262"/>
      <c r="D52" s="262"/>
      <c r="E52" s="262"/>
      <c r="F52" s="262"/>
      <c r="G52" s="262"/>
      <c r="H52" s="263"/>
    </row>
    <row r="53" spans="1:8" ht="15.75" customHeight="1">
      <c r="A53" s="303"/>
      <c r="B53" s="304"/>
      <c r="C53" s="304"/>
      <c r="D53" s="304"/>
      <c r="E53" s="304"/>
      <c r="F53" s="304"/>
      <c r="G53" s="304"/>
      <c r="H53" s="305"/>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topLeftCell="A4" workbookViewId="0">
      <selection activeCell="Q53" sqref="Q53"/>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48" customHeight="1">
      <c r="A7" s="68">
        <v>115</v>
      </c>
      <c r="B7" s="279" t="s">
        <v>144</v>
      </c>
      <c r="C7" s="279"/>
      <c r="D7" s="279"/>
      <c r="E7" s="279"/>
      <c r="F7" s="279"/>
      <c r="G7" s="279"/>
      <c r="H7" s="297"/>
    </row>
    <row r="8" spans="1:8" ht="15.75" customHeight="1">
      <c r="A8" s="69"/>
      <c r="B8" s="278"/>
      <c r="C8" s="279"/>
      <c r="D8" s="279"/>
      <c r="E8" s="279"/>
      <c r="F8" s="279"/>
      <c r="G8" s="70" t="s">
        <v>125</v>
      </c>
      <c r="H8" s="90" t="s">
        <v>140</v>
      </c>
    </row>
    <row r="9" spans="1:8">
      <c r="A9" s="45"/>
      <c r="B9" s="46"/>
      <c r="C9" s="264"/>
      <c r="D9" s="264"/>
      <c r="E9" s="264"/>
      <c r="F9" s="47"/>
      <c r="G9" s="61"/>
      <c r="H9" s="48"/>
    </row>
    <row r="10" spans="1:8" ht="15.75">
      <c r="A10" s="49" t="s">
        <v>113</v>
      </c>
      <c r="B10" s="46"/>
      <c r="C10" s="281"/>
      <c r="D10" s="281"/>
      <c r="E10" s="61"/>
      <c r="F10" s="47"/>
      <c r="G10" s="61"/>
      <c r="H10" s="48"/>
    </row>
    <row r="11" spans="1:8" ht="15.75">
      <c r="A11" s="45"/>
      <c r="B11" s="73" t="s">
        <v>114</v>
      </c>
      <c r="C11" s="73" t="s">
        <v>44</v>
      </c>
      <c r="D11" s="73"/>
      <c r="E11" s="74"/>
      <c r="F11" s="74"/>
      <c r="G11" s="74" t="s">
        <v>9</v>
      </c>
      <c r="H11" s="48"/>
    </row>
    <row r="12" spans="1:8">
      <c r="A12" s="72"/>
      <c r="B12" s="75" t="s">
        <v>159</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8" ht="15.75">
      <c r="A17" s="52"/>
      <c r="B17" s="79" t="s">
        <v>119</v>
      </c>
      <c r="C17" s="80">
        <f>C15-C16</f>
        <v>0</v>
      </c>
      <c r="D17" s="42"/>
      <c r="E17" s="42"/>
      <c r="F17" s="42"/>
      <c r="G17" s="42"/>
      <c r="H17" s="51"/>
    </row>
    <row r="18" spans="1:8" ht="15.75">
      <c r="A18" s="63"/>
      <c r="B18" s="79" t="s">
        <v>120</v>
      </c>
      <c r="C18" s="80"/>
      <c r="D18" s="42"/>
      <c r="E18" s="42"/>
      <c r="F18" s="42"/>
      <c r="G18" s="42"/>
      <c r="H18" s="51"/>
    </row>
    <row r="19" spans="1:8" ht="15.75">
      <c r="A19" s="63"/>
      <c r="B19" s="79" t="s">
        <v>121</v>
      </c>
      <c r="C19" s="80">
        <f>G12</f>
        <v>0</v>
      </c>
      <c r="D19" s="42"/>
      <c r="E19" s="42"/>
      <c r="F19" s="42"/>
      <c r="G19" s="42"/>
      <c r="H19" s="51"/>
    </row>
    <row r="20" spans="1:8">
      <c r="A20" s="63"/>
      <c r="H20" s="51"/>
    </row>
    <row r="21" spans="1:8">
      <c r="A21" s="145">
        <v>1</v>
      </c>
      <c r="B21" s="306" t="s">
        <v>172</v>
      </c>
      <c r="C21" s="306"/>
      <c r="D21" s="306"/>
      <c r="H21" s="51"/>
    </row>
    <row r="22" spans="1:8">
      <c r="A22" s="145">
        <v>2</v>
      </c>
      <c r="B22" s="306" t="s">
        <v>184</v>
      </c>
      <c r="C22" s="306"/>
      <c r="D22" s="306"/>
      <c r="H22" s="51"/>
    </row>
    <row r="23" spans="1:8">
      <c r="A23" s="145">
        <v>3</v>
      </c>
      <c r="B23" s="306" t="s">
        <v>173</v>
      </c>
      <c r="C23" s="306"/>
      <c r="D23" s="306"/>
      <c r="H23" s="51"/>
    </row>
    <row r="24" spans="1:8">
      <c r="A24" s="145">
        <v>4</v>
      </c>
      <c r="B24" s="306" t="s">
        <v>174</v>
      </c>
      <c r="C24" s="306"/>
      <c r="D24" s="306"/>
      <c r="H24" s="51"/>
    </row>
    <row r="25" spans="1:8">
      <c r="A25" s="145">
        <v>5</v>
      </c>
      <c r="B25" s="306" t="s">
        <v>175</v>
      </c>
      <c r="C25" s="306"/>
      <c r="D25" s="306"/>
      <c r="E25" s="42"/>
      <c r="F25" s="42"/>
      <c r="G25" s="42"/>
      <c r="H25" s="51"/>
    </row>
    <row r="26" spans="1:8">
      <c r="A26" s="145">
        <v>6</v>
      </c>
      <c r="B26" s="306" t="s">
        <v>176</v>
      </c>
      <c r="C26" s="306"/>
      <c r="D26" s="306"/>
      <c r="E26" s="42"/>
      <c r="F26" s="42"/>
      <c r="G26" s="42"/>
      <c r="H26" s="51"/>
    </row>
    <row r="27" spans="1:8">
      <c r="A27" s="145">
        <v>7</v>
      </c>
      <c r="B27" s="306" t="s">
        <v>177</v>
      </c>
      <c r="C27" s="306"/>
      <c r="D27" s="306"/>
      <c r="E27" s="42"/>
      <c r="F27" s="42"/>
      <c r="G27" s="42"/>
      <c r="H27" s="51"/>
    </row>
    <row r="28" spans="1:8">
      <c r="A28" s="145">
        <v>8</v>
      </c>
      <c r="B28" s="306" t="s">
        <v>178</v>
      </c>
      <c r="C28" s="306"/>
      <c r="D28" s="306"/>
      <c r="E28" s="42"/>
      <c r="F28" s="42"/>
      <c r="G28" s="42"/>
      <c r="H28" s="51"/>
    </row>
    <row r="29" spans="1:8">
      <c r="A29" s="145">
        <v>9</v>
      </c>
      <c r="B29" s="306" t="s">
        <v>179</v>
      </c>
      <c r="C29" s="306"/>
      <c r="D29" s="306"/>
      <c r="E29" s="42"/>
      <c r="F29" s="42"/>
      <c r="G29" s="42"/>
      <c r="H29" s="51"/>
    </row>
    <row r="30" spans="1:8">
      <c r="A30" s="145">
        <v>10</v>
      </c>
      <c r="B30" s="306" t="s">
        <v>180</v>
      </c>
      <c r="C30" s="306"/>
      <c r="D30" s="306"/>
      <c r="E30" s="42"/>
      <c r="G30" s="42"/>
      <c r="H30" s="51"/>
    </row>
    <row r="31" spans="1:8">
      <c r="A31" s="145">
        <v>11</v>
      </c>
      <c r="B31" s="306" t="s">
        <v>181</v>
      </c>
      <c r="C31" s="306"/>
      <c r="D31" s="306"/>
      <c r="E31" s="42"/>
      <c r="F31" s="42"/>
      <c r="G31" s="42"/>
      <c r="H31" s="51"/>
    </row>
    <row r="32" spans="1:8">
      <c r="A32" s="145">
        <v>12</v>
      </c>
      <c r="B32" s="306" t="s">
        <v>182</v>
      </c>
      <c r="C32" s="306"/>
      <c r="D32" s="306"/>
      <c r="E32" s="42"/>
      <c r="F32" s="42"/>
      <c r="G32" s="42"/>
      <c r="H32" s="51"/>
    </row>
    <row r="33" spans="1:8">
      <c r="A33" s="145">
        <v>13</v>
      </c>
      <c r="B33" s="306" t="s">
        <v>183</v>
      </c>
      <c r="C33" s="306"/>
      <c r="D33" s="306"/>
      <c r="E33" s="42"/>
      <c r="F33" s="42"/>
      <c r="G33" s="42"/>
      <c r="H33" s="51"/>
    </row>
    <row r="34" spans="1:8">
      <c r="A34" s="145">
        <v>14</v>
      </c>
      <c r="B34" s="306" t="s">
        <v>189</v>
      </c>
      <c r="C34" s="306"/>
      <c r="D34" s="306"/>
      <c r="E34" s="42"/>
      <c r="F34" s="42"/>
      <c r="G34" s="42"/>
      <c r="H34" s="51"/>
    </row>
    <row r="35" spans="1:8">
      <c r="A35" s="145">
        <v>15</v>
      </c>
      <c r="B35" s="306" t="s">
        <v>193</v>
      </c>
      <c r="C35" s="306"/>
      <c r="D35" s="306"/>
      <c r="E35" s="144"/>
      <c r="F35" s="158"/>
      <c r="G35" s="42"/>
      <c r="H35" s="51"/>
    </row>
    <row r="36" spans="1:8" ht="15.75">
      <c r="A36" s="145">
        <v>16</v>
      </c>
      <c r="B36" s="306" t="s">
        <v>194</v>
      </c>
      <c r="C36" s="306"/>
      <c r="D36" s="306"/>
      <c r="E36" s="144"/>
      <c r="F36" s="158"/>
      <c r="G36" s="124"/>
      <c r="H36" s="51"/>
    </row>
    <row r="37" spans="1:8">
      <c r="A37" s="145">
        <v>17</v>
      </c>
      <c r="B37" s="306" t="s">
        <v>195</v>
      </c>
      <c r="C37" s="306"/>
      <c r="D37" s="306"/>
      <c r="E37" s="144"/>
      <c r="F37" s="158"/>
      <c r="G37" s="42"/>
      <c r="H37" s="51"/>
    </row>
    <row r="38" spans="1:8" ht="15.75">
      <c r="A38" s="145">
        <v>18</v>
      </c>
      <c r="B38" s="306" t="s">
        <v>196</v>
      </c>
      <c r="C38" s="306"/>
      <c r="D38" s="306"/>
      <c r="E38" s="144"/>
      <c r="F38" s="158"/>
      <c r="G38" s="35"/>
      <c r="H38" s="54"/>
    </row>
    <row r="39" spans="1:8" ht="15.75">
      <c r="A39" s="145">
        <v>19</v>
      </c>
      <c r="B39" s="306" t="s">
        <v>197</v>
      </c>
      <c r="C39" s="306"/>
      <c r="D39" s="306"/>
      <c r="E39" s="144"/>
      <c r="F39" s="158"/>
      <c r="G39" s="35"/>
      <c r="H39" s="54"/>
    </row>
    <row r="40" spans="1:8" ht="15.75">
      <c r="A40" s="145">
        <v>20</v>
      </c>
      <c r="B40" s="306" t="s">
        <v>198</v>
      </c>
      <c r="C40" s="306"/>
      <c r="D40" s="306"/>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145</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57"/>
  <sheetViews>
    <sheetView topLeftCell="A22" workbookViewId="0">
      <selection activeCell="Q53" sqref="Q53"/>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2</v>
      </c>
      <c r="B6" s="274" t="s">
        <v>190</v>
      </c>
      <c r="C6" s="274"/>
      <c r="D6" s="274"/>
      <c r="E6" s="274"/>
      <c r="F6" s="274"/>
      <c r="G6" s="274"/>
      <c r="H6" s="275"/>
    </row>
    <row r="7" spans="1:8" ht="64.5" customHeight="1">
      <c r="A7" s="68">
        <v>201</v>
      </c>
      <c r="B7" s="279" t="s">
        <v>72</v>
      </c>
      <c r="C7" s="279"/>
      <c r="D7" s="279"/>
      <c r="E7" s="279"/>
      <c r="F7" s="279"/>
      <c r="G7" s="279"/>
      <c r="H7" s="297"/>
    </row>
    <row r="8" spans="1:8" ht="15.75" customHeight="1">
      <c r="A8" s="69"/>
      <c r="B8" s="278"/>
      <c r="C8" s="279"/>
      <c r="D8" s="279"/>
      <c r="E8" s="279"/>
      <c r="F8" s="279"/>
      <c r="G8" s="70" t="s">
        <v>125</v>
      </c>
      <c r="H8" s="90" t="s">
        <v>214</v>
      </c>
    </row>
    <row r="9" spans="1:8">
      <c r="A9" s="45"/>
      <c r="B9" s="46"/>
      <c r="C9" s="264"/>
      <c r="D9" s="264"/>
      <c r="E9" s="264"/>
      <c r="F9" s="47"/>
      <c r="G9" s="149"/>
      <c r="H9" s="48"/>
    </row>
    <row r="10" spans="1:8" ht="15.75">
      <c r="A10" s="49" t="s">
        <v>113</v>
      </c>
      <c r="B10" s="46"/>
      <c r="C10" s="281"/>
      <c r="D10" s="281"/>
      <c r="E10" s="149"/>
      <c r="F10" s="47"/>
      <c r="G10" s="149"/>
      <c r="H10" s="48"/>
    </row>
    <row r="11" spans="1:8" ht="15.75">
      <c r="A11" s="45"/>
      <c r="B11" s="73" t="s">
        <v>114</v>
      </c>
      <c r="C11" s="73" t="s">
        <v>44</v>
      </c>
      <c r="D11" s="73"/>
      <c r="E11" s="74"/>
      <c r="F11" s="74"/>
      <c r="G11" s="74" t="s">
        <v>9</v>
      </c>
      <c r="H11" s="48"/>
    </row>
    <row r="12" spans="1:8">
      <c r="A12" s="72"/>
      <c r="B12" s="75" t="s">
        <v>191</v>
      </c>
      <c r="C12" s="76"/>
      <c r="D12" s="91"/>
      <c r="E12" s="77"/>
      <c r="F12" s="78"/>
      <c r="G12" s="78">
        <f>G26</f>
        <v>642.59730000000013</v>
      </c>
      <c r="H12" s="48"/>
    </row>
    <row r="13" spans="1:8" ht="15.75">
      <c r="A13" s="45"/>
      <c r="B13" s="87" t="s">
        <v>9</v>
      </c>
      <c r="C13" s="88"/>
      <c r="D13" s="88"/>
      <c r="E13" s="88"/>
      <c r="F13" s="88"/>
      <c r="G13" s="89">
        <f>G12</f>
        <v>642.59730000000013</v>
      </c>
      <c r="H13" s="48"/>
    </row>
    <row r="14" spans="1:8">
      <c r="A14" s="45"/>
      <c r="B14" s="42"/>
      <c r="C14" s="42"/>
      <c r="D14" s="42"/>
      <c r="E14" s="42"/>
      <c r="F14" s="42"/>
      <c r="G14" s="42"/>
      <c r="H14" s="48"/>
    </row>
    <row r="15" spans="1:8" ht="15.75">
      <c r="A15" s="50"/>
      <c r="B15" s="79" t="s">
        <v>117</v>
      </c>
      <c r="C15" s="80">
        <f>'BM05'!D28</f>
        <v>4300</v>
      </c>
      <c r="D15" s="213"/>
      <c r="E15" s="42"/>
      <c r="F15" s="42"/>
      <c r="G15" s="42"/>
      <c r="H15" s="51"/>
    </row>
    <row r="16" spans="1:8" ht="15.75">
      <c r="A16" s="52"/>
      <c r="B16" s="79" t="s">
        <v>118</v>
      </c>
      <c r="C16" s="80">
        <f>C36</f>
        <v>1890.2673</v>
      </c>
      <c r="D16" s="214"/>
      <c r="E16" s="42"/>
      <c r="F16" s="42"/>
      <c r="G16" s="42"/>
      <c r="H16" s="51"/>
    </row>
    <row r="17" spans="1:8" ht="15.75">
      <c r="A17" s="52"/>
      <c r="B17" s="79" t="s">
        <v>119</v>
      </c>
      <c r="C17" s="80">
        <f>C15-C16</f>
        <v>2409.7327</v>
      </c>
      <c r="D17" s="42"/>
      <c r="E17" s="42"/>
      <c r="F17" s="42"/>
      <c r="G17" s="42"/>
      <c r="H17" s="51"/>
    </row>
    <row r="18" spans="1:8" ht="15.75">
      <c r="A18" s="148"/>
      <c r="B18" s="79" t="s">
        <v>120</v>
      </c>
      <c r="C18" s="80"/>
      <c r="D18" s="42"/>
      <c r="E18" s="42"/>
      <c r="F18" s="42"/>
      <c r="G18" s="42"/>
      <c r="H18" s="51"/>
    </row>
    <row r="19" spans="1:8" ht="15.75">
      <c r="A19" s="148"/>
      <c r="B19" s="79" t="s">
        <v>121</v>
      </c>
      <c r="C19" s="80">
        <f>G12</f>
        <v>642.59730000000013</v>
      </c>
      <c r="D19" s="42"/>
      <c r="E19" s="42"/>
      <c r="F19" s="42"/>
      <c r="G19" s="42"/>
      <c r="H19" s="51"/>
    </row>
    <row r="20" spans="1:8" ht="15.75">
      <c r="A20" s="148"/>
      <c r="B20" s="159"/>
      <c r="C20" s="160"/>
      <c r="D20" s="42"/>
      <c r="E20" s="42"/>
      <c r="F20" s="42"/>
      <c r="G20" s="42"/>
      <c r="H20" s="51"/>
    </row>
    <row r="21" spans="1:8">
      <c r="A21" s="175"/>
      <c r="B21" s="280" t="s">
        <v>297</v>
      </c>
      <c r="C21" s="280"/>
      <c r="D21" s="280"/>
      <c r="H21" s="51"/>
    </row>
    <row r="22" spans="1:8">
      <c r="A22" s="175"/>
      <c r="B22" s="280" t="s">
        <v>229</v>
      </c>
      <c r="C22" s="280"/>
      <c r="D22" s="280"/>
      <c r="H22" s="51"/>
    </row>
    <row r="23" spans="1:8">
      <c r="A23" s="175"/>
      <c r="B23" s="167" t="s">
        <v>217</v>
      </c>
      <c r="C23" s="168" t="s">
        <v>185</v>
      </c>
      <c r="D23" s="167" t="s">
        <v>218</v>
      </c>
      <c r="E23" s="230" t="s">
        <v>102</v>
      </c>
      <c r="F23" s="169" t="s">
        <v>231</v>
      </c>
      <c r="G23" s="170" t="s">
        <v>232</v>
      </c>
      <c r="H23" s="51"/>
    </row>
    <row r="24" spans="1:8">
      <c r="A24" s="175"/>
      <c r="B24" s="169" t="s">
        <v>219</v>
      </c>
      <c r="C24" s="197">
        <v>91.417500000000004</v>
      </c>
      <c r="D24" s="230" t="s">
        <v>214</v>
      </c>
      <c r="E24" s="176">
        <v>44501</v>
      </c>
      <c r="F24" s="169">
        <v>1074.92</v>
      </c>
      <c r="G24" s="169"/>
      <c r="H24" s="51"/>
    </row>
    <row r="25" spans="1:8">
      <c r="A25" s="175"/>
      <c r="B25" s="169" t="s">
        <v>220</v>
      </c>
      <c r="C25" s="197">
        <v>170.01200000000003</v>
      </c>
      <c r="D25" s="230" t="s">
        <v>214</v>
      </c>
      <c r="E25" s="176">
        <v>44531</v>
      </c>
      <c r="F25" s="184">
        <v>1247.6699999999998</v>
      </c>
      <c r="G25" s="169">
        <f>F25-F24</f>
        <v>172.74999999999977</v>
      </c>
      <c r="H25" s="51"/>
    </row>
    <row r="26" spans="1:8">
      <c r="A26" s="175"/>
      <c r="B26" s="169" t="s">
        <v>221</v>
      </c>
      <c r="C26" s="198">
        <v>133.50800000000001</v>
      </c>
      <c r="D26" s="230" t="s">
        <v>214</v>
      </c>
      <c r="E26" s="199">
        <v>44562</v>
      </c>
      <c r="F26" s="200">
        <f>C36</f>
        <v>1890.2673</v>
      </c>
      <c r="G26" s="200">
        <f>F26-F25</f>
        <v>642.59730000000013</v>
      </c>
      <c r="H26" s="51"/>
    </row>
    <row r="27" spans="1:8">
      <c r="A27" s="175"/>
      <c r="B27" s="169" t="s">
        <v>222</v>
      </c>
      <c r="C27" s="198">
        <v>538.995</v>
      </c>
      <c r="D27" s="230" t="s">
        <v>214</v>
      </c>
      <c r="H27" s="51"/>
    </row>
    <row r="28" spans="1:8">
      <c r="A28" s="175"/>
      <c r="B28" s="169" t="s">
        <v>223</v>
      </c>
      <c r="C28" s="198">
        <v>133.50800000000001</v>
      </c>
      <c r="D28" s="230" t="s">
        <v>214</v>
      </c>
      <c r="H28" s="51"/>
    </row>
    <row r="29" spans="1:8">
      <c r="A29" s="175"/>
      <c r="B29" s="169" t="s">
        <v>224</v>
      </c>
      <c r="C29" s="197">
        <v>170.01200000000003</v>
      </c>
      <c r="D29" s="170" t="s">
        <v>214</v>
      </c>
      <c r="H29" s="51"/>
    </row>
    <row r="30" spans="1:8">
      <c r="A30" s="175"/>
      <c r="B30" s="169" t="s">
        <v>230</v>
      </c>
      <c r="C30" s="197">
        <v>91.417500000000004</v>
      </c>
      <c r="D30" s="170" t="s">
        <v>214</v>
      </c>
      <c r="H30" s="51"/>
    </row>
    <row r="31" spans="1:8">
      <c r="A31" s="148"/>
      <c r="B31" s="169" t="s">
        <v>243</v>
      </c>
      <c r="C31" s="181">
        <v>150.52000000000001</v>
      </c>
      <c r="D31" s="170" t="s">
        <v>214</v>
      </c>
      <c r="H31" s="51"/>
    </row>
    <row r="32" spans="1:8">
      <c r="A32" s="148"/>
      <c r="B32" s="169" t="s">
        <v>244</v>
      </c>
      <c r="C32" s="181">
        <v>73.378500000000003</v>
      </c>
      <c r="D32" s="170" t="s">
        <v>214</v>
      </c>
      <c r="H32" s="51"/>
    </row>
    <row r="33" spans="1:8" ht="15" customHeight="1">
      <c r="A33" s="148"/>
      <c r="B33" s="169" t="s">
        <v>245</v>
      </c>
      <c r="C33" s="181">
        <v>45.49</v>
      </c>
      <c r="D33" s="170" t="s">
        <v>214</v>
      </c>
      <c r="H33" s="51"/>
    </row>
    <row r="34" spans="1:8" ht="15" customHeight="1">
      <c r="A34" s="148"/>
      <c r="B34" s="169" t="s">
        <v>246</v>
      </c>
      <c r="C34" s="181">
        <v>292.00880000000001</v>
      </c>
      <c r="D34" s="170" t="s">
        <v>214</v>
      </c>
      <c r="H34" s="51"/>
    </row>
    <row r="35" spans="1:8" ht="15" customHeight="1">
      <c r="A35" s="148"/>
      <c r="B35" s="169" t="s">
        <v>247</v>
      </c>
      <c r="C35" s="170"/>
      <c r="D35" s="170" t="s">
        <v>214</v>
      </c>
      <c r="H35" s="51"/>
    </row>
    <row r="36" spans="1:8">
      <c r="A36" s="148"/>
      <c r="B36" s="230" t="s">
        <v>9</v>
      </c>
      <c r="C36" s="171">
        <f>SUM(C24:C35)</f>
        <v>1890.2673</v>
      </c>
      <c r="D36" s="170" t="s">
        <v>214</v>
      </c>
      <c r="H36" s="51"/>
    </row>
    <row r="37" spans="1:8">
      <c r="A37" s="148"/>
      <c r="H37" s="51"/>
    </row>
    <row r="38" spans="1:8">
      <c r="A38" s="203"/>
      <c r="H38" s="51"/>
    </row>
    <row r="39" spans="1:8">
      <c r="A39" s="203"/>
      <c r="H39" s="51"/>
    </row>
    <row r="40" spans="1:8">
      <c r="A40" s="203"/>
      <c r="H40" s="51"/>
    </row>
    <row r="41" spans="1:8">
      <c r="A41" s="148"/>
      <c r="H41" s="51"/>
    </row>
    <row r="42" spans="1:8">
      <c r="A42" s="148"/>
      <c r="H42" s="51"/>
    </row>
    <row r="43" spans="1:8">
      <c r="A43" s="148"/>
      <c r="H43" s="51"/>
    </row>
    <row r="44" spans="1:8" ht="15.75">
      <c r="A44" s="45"/>
      <c r="H44" s="54"/>
    </row>
    <row r="45" spans="1:8" ht="15.75">
      <c r="A45" s="45"/>
      <c r="H45" s="54"/>
    </row>
    <row r="46" spans="1:8" ht="15.75">
      <c r="A46" s="45"/>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46"/>
      <c r="C53" s="149"/>
      <c r="D53" s="149"/>
      <c r="E53" s="149"/>
      <c r="F53" s="47"/>
      <c r="G53" s="55"/>
      <c r="H53" s="48"/>
    </row>
    <row r="54" spans="1:8" ht="15.75">
      <c r="A54" s="81" t="s">
        <v>122</v>
      </c>
      <c r="B54" s="82"/>
      <c r="C54" s="83"/>
      <c r="D54" s="84"/>
      <c r="E54" s="85"/>
      <c r="F54" s="83"/>
      <c r="G54" s="83"/>
      <c r="H54" s="86"/>
    </row>
    <row r="55" spans="1:8" ht="15" customHeight="1">
      <c r="A55" s="261" t="s">
        <v>192</v>
      </c>
      <c r="B55" s="262"/>
      <c r="C55" s="262"/>
      <c r="D55" s="262"/>
      <c r="E55" s="262"/>
      <c r="F55" s="262"/>
      <c r="G55" s="262"/>
      <c r="H55" s="263"/>
    </row>
    <row r="56" spans="1:8" ht="15.75">
      <c r="A56" s="56"/>
      <c r="B56" s="40"/>
      <c r="C56" s="150"/>
      <c r="D56" s="150"/>
      <c r="E56" s="150"/>
      <c r="F56" s="58"/>
      <c r="G56" s="59"/>
      <c r="H56" s="60"/>
    </row>
    <row r="57" spans="1:8">
      <c r="A57" s="34"/>
      <c r="B57" s="36"/>
      <c r="C57" s="151"/>
      <c r="D57" s="38"/>
      <c r="E57" s="39"/>
      <c r="F57" s="151"/>
      <c r="G57" s="151"/>
      <c r="H57" s="151"/>
    </row>
  </sheetData>
  <mergeCells count="11">
    <mergeCell ref="B8:F8"/>
    <mergeCell ref="A2:H2"/>
    <mergeCell ref="A3:H3"/>
    <mergeCell ref="A4:H4"/>
    <mergeCell ref="B6:H6"/>
    <mergeCell ref="B7:H7"/>
    <mergeCell ref="A55:H55"/>
    <mergeCell ref="C9:E9"/>
    <mergeCell ref="C10:D10"/>
    <mergeCell ref="B21:D21"/>
    <mergeCell ref="B22:D22"/>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58"/>
  <sheetViews>
    <sheetView topLeftCell="A34" workbookViewId="0">
      <selection activeCell="M49" sqref="M49"/>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2</v>
      </c>
      <c r="B6" s="274" t="s">
        <v>190</v>
      </c>
      <c r="C6" s="274"/>
      <c r="D6" s="274"/>
      <c r="E6" s="274"/>
      <c r="F6" s="274"/>
      <c r="G6" s="274"/>
      <c r="H6" s="275"/>
    </row>
    <row r="7" spans="1:8" ht="64.5" customHeight="1">
      <c r="A7" s="68">
        <v>202</v>
      </c>
      <c r="B7" s="279" t="s">
        <v>73</v>
      </c>
      <c r="C7" s="279"/>
      <c r="D7" s="279"/>
      <c r="E7" s="279"/>
      <c r="F7" s="279"/>
      <c r="G7" s="279"/>
      <c r="H7" s="297"/>
    </row>
    <row r="8" spans="1:8" ht="15.75" customHeight="1">
      <c r="A8" s="69"/>
      <c r="B8" s="278"/>
      <c r="C8" s="279"/>
      <c r="D8" s="279"/>
      <c r="E8" s="279"/>
      <c r="F8" s="279"/>
      <c r="G8" s="70" t="s">
        <v>125</v>
      </c>
      <c r="H8" s="90" t="s">
        <v>214</v>
      </c>
    </row>
    <row r="9" spans="1:8">
      <c r="A9" s="45"/>
      <c r="B9" s="46"/>
      <c r="C9" s="264"/>
      <c r="D9" s="264"/>
      <c r="E9" s="264"/>
      <c r="F9" s="47"/>
      <c r="G9" s="149"/>
      <c r="H9" s="48"/>
    </row>
    <row r="10" spans="1:8" ht="15.75">
      <c r="A10" s="49" t="s">
        <v>113</v>
      </c>
      <c r="B10" s="46"/>
      <c r="C10" s="281"/>
      <c r="D10" s="281"/>
      <c r="E10" s="149"/>
      <c r="F10" s="47"/>
      <c r="G10" s="149"/>
      <c r="H10" s="48"/>
    </row>
    <row r="11" spans="1:8" ht="15.75">
      <c r="A11" s="45"/>
      <c r="B11" s="73" t="s">
        <v>114</v>
      </c>
      <c r="C11" s="73" t="s">
        <v>44</v>
      </c>
      <c r="D11" s="73"/>
      <c r="E11" s="74"/>
      <c r="F11" s="74"/>
      <c r="G11" s="74" t="s">
        <v>9</v>
      </c>
      <c r="H11" s="48"/>
    </row>
    <row r="12" spans="1:8">
      <c r="A12" s="72"/>
      <c r="B12" s="75" t="s">
        <v>199</v>
      </c>
      <c r="C12" s="76"/>
      <c r="D12" s="91"/>
      <c r="E12" s="77"/>
      <c r="F12" s="78"/>
      <c r="G12" s="78">
        <f>G25</f>
        <v>484.98849999999993</v>
      </c>
      <c r="H12" s="48"/>
    </row>
    <row r="13" spans="1:8" ht="15.75">
      <c r="A13" s="45"/>
      <c r="B13" s="87" t="s">
        <v>9</v>
      </c>
      <c r="C13" s="88"/>
      <c r="D13" s="88"/>
      <c r="E13" s="88"/>
      <c r="F13" s="88"/>
      <c r="G13" s="89">
        <f>G12</f>
        <v>484.98849999999993</v>
      </c>
      <c r="H13" s="48"/>
    </row>
    <row r="14" spans="1:8">
      <c r="A14" s="45"/>
      <c r="B14" s="42"/>
      <c r="C14" s="42"/>
      <c r="D14" s="42"/>
      <c r="E14" s="42"/>
      <c r="F14" s="42"/>
      <c r="G14" s="42"/>
      <c r="H14" s="48"/>
    </row>
    <row r="15" spans="1:8" ht="15.75">
      <c r="A15" s="50"/>
      <c r="B15" s="79" t="s">
        <v>117</v>
      </c>
      <c r="C15" s="80">
        <f>'BM05'!D28</f>
        <v>4300</v>
      </c>
      <c r="D15" s="43"/>
      <c r="E15" s="42"/>
      <c r="F15" s="42"/>
      <c r="G15" s="42"/>
      <c r="H15" s="51"/>
    </row>
    <row r="16" spans="1:8" ht="15.75">
      <c r="A16" s="52"/>
      <c r="B16" s="79" t="s">
        <v>118</v>
      </c>
      <c r="C16" s="80">
        <f>1067.78+261.09</f>
        <v>1328.87</v>
      </c>
      <c r="D16" s="43"/>
      <c r="E16" s="42"/>
      <c r="F16" s="42"/>
      <c r="G16" s="42"/>
      <c r="H16" s="51"/>
    </row>
    <row r="17" spans="1:8" ht="15.75">
      <c r="A17" s="52"/>
      <c r="B17" s="79" t="s">
        <v>119</v>
      </c>
      <c r="C17" s="80">
        <f>C15-C16</f>
        <v>2971.13</v>
      </c>
      <c r="D17" s="42"/>
      <c r="E17" s="42"/>
      <c r="F17" s="42"/>
      <c r="G17" s="42"/>
      <c r="H17" s="51"/>
    </row>
    <row r="18" spans="1:8" ht="15.75">
      <c r="A18" s="148"/>
      <c r="B18" s="79" t="s">
        <v>120</v>
      </c>
      <c r="C18" s="80"/>
      <c r="D18" s="42"/>
      <c r="E18" s="42"/>
      <c r="F18" s="42"/>
      <c r="G18" s="42"/>
      <c r="H18" s="51"/>
    </row>
    <row r="19" spans="1:8" ht="15.75">
      <c r="A19" s="148"/>
      <c r="B19" s="79" t="s">
        <v>121</v>
      </c>
      <c r="C19" s="80">
        <f>G13</f>
        <v>484.98849999999993</v>
      </c>
      <c r="D19" s="42"/>
      <c r="E19" s="42"/>
      <c r="F19" s="42"/>
      <c r="G19" s="42"/>
      <c r="H19" s="51"/>
    </row>
    <row r="20" spans="1:8" ht="15.75">
      <c r="A20" s="148"/>
      <c r="B20" s="159"/>
      <c r="C20" s="160"/>
      <c r="D20" s="42"/>
      <c r="E20" s="42"/>
      <c r="F20" s="42"/>
      <c r="G20" s="42"/>
      <c r="H20" s="51"/>
    </row>
    <row r="21" spans="1:8">
      <c r="A21" s="148"/>
      <c r="B21" s="280" t="s">
        <v>283</v>
      </c>
      <c r="C21" s="280"/>
      <c r="D21" s="280"/>
      <c r="H21" s="51"/>
    </row>
    <row r="22" spans="1:8">
      <c r="A22" s="148"/>
      <c r="B22" s="280" t="s">
        <v>199</v>
      </c>
      <c r="C22" s="280"/>
      <c r="D22" s="280"/>
      <c r="E22" s="177"/>
      <c r="F22" s="170" t="s">
        <v>233</v>
      </c>
      <c r="G22" s="170" t="s">
        <v>234</v>
      </c>
      <c r="H22" s="51"/>
    </row>
    <row r="23" spans="1:8">
      <c r="A23" s="148"/>
      <c r="B23" s="167" t="s">
        <v>217</v>
      </c>
      <c r="C23" s="168" t="s">
        <v>185</v>
      </c>
      <c r="D23" s="167" t="s">
        <v>218</v>
      </c>
      <c r="E23" s="190">
        <v>44501</v>
      </c>
      <c r="F23" s="178">
        <v>681.34</v>
      </c>
      <c r="G23" s="178"/>
      <c r="H23" s="51"/>
    </row>
    <row r="24" spans="1:8">
      <c r="A24" s="148"/>
      <c r="B24" s="169" t="s">
        <v>219</v>
      </c>
      <c r="C24" s="171">
        <v>91.417500000000004</v>
      </c>
      <c r="D24" s="230" t="s">
        <v>214</v>
      </c>
      <c r="E24" s="190">
        <v>44531</v>
      </c>
      <c r="F24" s="179">
        <v>1067.78</v>
      </c>
      <c r="G24" s="179">
        <f>F24-F23</f>
        <v>386.43999999999994</v>
      </c>
      <c r="H24" s="51"/>
    </row>
    <row r="25" spans="1:8">
      <c r="A25" s="148"/>
      <c r="B25" s="169" t="s">
        <v>220</v>
      </c>
      <c r="C25" s="171">
        <v>170.01200000000003</v>
      </c>
      <c r="D25" s="230" t="s">
        <v>214</v>
      </c>
      <c r="E25" s="215">
        <v>44562</v>
      </c>
      <c r="F25" s="200">
        <f>C35</f>
        <v>1552.7684999999999</v>
      </c>
      <c r="G25" s="200">
        <f>F25-F24</f>
        <v>484.98849999999993</v>
      </c>
      <c r="H25" s="51"/>
    </row>
    <row r="26" spans="1:8">
      <c r="A26" s="148"/>
      <c r="B26" s="169" t="s">
        <v>221</v>
      </c>
      <c r="C26" s="171">
        <v>133.50800000000001</v>
      </c>
      <c r="D26" s="230" t="s">
        <v>214</v>
      </c>
      <c r="H26" s="51"/>
    </row>
    <row r="27" spans="1:8">
      <c r="A27" s="148"/>
      <c r="B27" s="169" t="s">
        <v>222</v>
      </c>
      <c r="C27" s="171">
        <v>538.995</v>
      </c>
      <c r="D27" s="230" t="s">
        <v>214</v>
      </c>
      <c r="H27" s="51"/>
    </row>
    <row r="28" spans="1:8">
      <c r="A28" s="148"/>
      <c r="B28" s="169" t="s">
        <v>223</v>
      </c>
      <c r="C28" s="171">
        <v>133.50800000000001</v>
      </c>
      <c r="D28" s="230" t="s">
        <v>214</v>
      </c>
      <c r="H28" s="51"/>
    </row>
    <row r="29" spans="1:8">
      <c r="A29" s="148"/>
      <c r="B29" s="169" t="s">
        <v>224</v>
      </c>
      <c r="C29" s="171">
        <v>170.01200000000003</v>
      </c>
      <c r="D29" s="170" t="s">
        <v>214</v>
      </c>
      <c r="F29" s="180"/>
      <c r="H29" s="51"/>
    </row>
    <row r="30" spans="1:8">
      <c r="A30" s="148"/>
      <c r="B30" s="169" t="s">
        <v>230</v>
      </c>
      <c r="C30" s="171">
        <v>91.417500000000004</v>
      </c>
      <c r="D30" s="170" t="s">
        <v>214</v>
      </c>
      <c r="F30" s="180"/>
      <c r="H30" s="51"/>
    </row>
    <row r="31" spans="1:8" ht="15" customHeight="1">
      <c r="A31" s="148"/>
      <c r="B31" s="169" t="s">
        <v>243</v>
      </c>
      <c r="C31" s="171">
        <v>150.52000000000001</v>
      </c>
      <c r="D31" s="170" t="s">
        <v>214</v>
      </c>
      <c r="F31" s="180"/>
      <c r="H31" s="51"/>
    </row>
    <row r="32" spans="1:8" ht="15" customHeight="1">
      <c r="A32" s="148"/>
      <c r="B32" s="169" t="s">
        <v>244</v>
      </c>
      <c r="C32" s="171">
        <v>73.378500000000003</v>
      </c>
      <c r="D32" s="170" t="s">
        <v>214</v>
      </c>
      <c r="F32" s="180"/>
      <c r="H32" s="51"/>
    </row>
    <row r="33" spans="1:8" ht="15" customHeight="1">
      <c r="A33" s="148"/>
      <c r="B33" s="169" t="s">
        <v>245</v>
      </c>
      <c r="C33" s="171"/>
      <c r="D33" s="170" t="s">
        <v>214</v>
      </c>
      <c r="F33" s="180"/>
      <c r="H33" s="51"/>
    </row>
    <row r="34" spans="1:8" ht="15" customHeight="1">
      <c r="A34" s="148"/>
      <c r="B34" s="169" t="s">
        <v>246</v>
      </c>
      <c r="C34" s="171"/>
      <c r="D34" s="170" t="s">
        <v>214</v>
      </c>
      <c r="F34" s="180"/>
      <c r="H34" s="51"/>
    </row>
    <row r="35" spans="1:8">
      <c r="A35" s="148"/>
      <c r="B35" s="230" t="s">
        <v>9</v>
      </c>
      <c r="C35" s="171">
        <f>SUM(C24:C34)</f>
        <v>1552.7684999999999</v>
      </c>
      <c r="D35" s="170" t="s">
        <v>214</v>
      </c>
      <c r="H35" s="51"/>
    </row>
    <row r="36" spans="1:8" ht="15.75">
      <c r="A36" s="148"/>
      <c r="B36" s="159"/>
      <c r="C36" s="160"/>
      <c r="D36" s="42"/>
      <c r="E36" s="42"/>
      <c r="F36" s="42"/>
      <c r="G36" s="42"/>
      <c r="H36" s="51"/>
    </row>
    <row r="37" spans="1:8" ht="15.75">
      <c r="A37" s="148"/>
      <c r="B37" s="159"/>
      <c r="C37" s="160"/>
      <c r="D37" s="42"/>
      <c r="E37" s="42"/>
      <c r="F37" s="42"/>
      <c r="G37" s="42"/>
      <c r="H37" s="51"/>
    </row>
    <row r="38" spans="1:8" ht="15.75">
      <c r="A38" s="203"/>
      <c r="B38" s="159"/>
      <c r="C38" s="160"/>
      <c r="D38" s="42"/>
      <c r="E38" s="42"/>
      <c r="F38" s="42"/>
      <c r="G38" s="42"/>
      <c r="H38" s="51"/>
    </row>
    <row r="39" spans="1:8" ht="15.75">
      <c r="A39" s="203"/>
      <c r="B39" s="159"/>
      <c r="C39" s="160"/>
      <c r="D39" s="42"/>
      <c r="E39" s="42"/>
      <c r="F39" s="42"/>
      <c r="G39" s="42"/>
      <c r="H39" s="51"/>
    </row>
    <row r="40" spans="1:8" ht="15.75">
      <c r="A40" s="203"/>
      <c r="B40" s="159"/>
      <c r="C40" s="160"/>
      <c r="D40" s="42"/>
      <c r="E40" s="42"/>
      <c r="F40" s="42"/>
      <c r="G40" s="42"/>
      <c r="H40" s="51"/>
    </row>
    <row r="41" spans="1:8" ht="15.75">
      <c r="A41" s="203"/>
      <c r="B41" s="159"/>
      <c r="C41" s="160"/>
      <c r="D41" s="42"/>
      <c r="E41" s="42"/>
      <c r="F41" s="42"/>
      <c r="G41" s="42"/>
      <c r="H41" s="51"/>
    </row>
    <row r="42" spans="1:8" ht="15.75">
      <c r="A42" s="148"/>
      <c r="B42" s="159"/>
      <c r="C42" s="160"/>
      <c r="D42" s="42"/>
      <c r="E42" s="42"/>
      <c r="F42" s="42"/>
      <c r="G42" s="42"/>
      <c r="H42" s="51"/>
    </row>
    <row r="43" spans="1:8" ht="15.75">
      <c r="A43" s="148"/>
      <c r="B43" s="159"/>
      <c r="C43" s="160"/>
      <c r="D43" s="42"/>
      <c r="E43" s="42"/>
      <c r="F43" s="42"/>
      <c r="G43" s="42"/>
      <c r="H43" s="51"/>
    </row>
    <row r="44" spans="1:8" ht="15.75">
      <c r="A44" s="148"/>
      <c r="B44" s="159"/>
      <c r="C44" s="160"/>
      <c r="D44" s="42"/>
      <c r="E44" s="42"/>
      <c r="F44" s="42"/>
      <c r="G44" s="42"/>
      <c r="H44" s="51"/>
    </row>
    <row r="45" spans="1:8" ht="15.75">
      <c r="A45" s="45"/>
      <c r="B45" s="124"/>
      <c r="C45" s="124"/>
      <c r="D45" s="124"/>
      <c r="E45" s="42"/>
      <c r="F45" s="42"/>
      <c r="G45" s="35"/>
      <c r="H45" s="54"/>
    </row>
    <row r="46" spans="1:8" ht="15.75">
      <c r="A46" s="45"/>
      <c r="B46" s="124"/>
      <c r="C46" s="124"/>
      <c r="D46" s="124"/>
      <c r="E46" s="42"/>
      <c r="F46" s="42"/>
      <c r="G46" s="35"/>
      <c r="H46" s="54"/>
    </row>
    <row r="47" spans="1:8" ht="15.75">
      <c r="A47" s="45"/>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46"/>
      <c r="C54" s="149"/>
      <c r="D54" s="149"/>
      <c r="E54" s="149"/>
      <c r="F54" s="47"/>
      <c r="G54" s="55"/>
      <c r="H54" s="48"/>
    </row>
    <row r="55" spans="1:8" ht="15.75">
      <c r="A55" s="81" t="s">
        <v>122</v>
      </c>
      <c r="B55" s="82"/>
      <c r="C55" s="83"/>
      <c r="D55" s="84"/>
      <c r="E55" s="85"/>
      <c r="F55" s="83"/>
      <c r="G55" s="83"/>
      <c r="H55" s="86"/>
    </row>
    <row r="56" spans="1:8" ht="15" customHeight="1">
      <c r="A56" s="261" t="s">
        <v>192</v>
      </c>
      <c r="B56" s="262"/>
      <c r="C56" s="262"/>
      <c r="D56" s="262"/>
      <c r="E56" s="262"/>
      <c r="F56" s="262"/>
      <c r="G56" s="262"/>
      <c r="H56" s="263"/>
    </row>
    <row r="57" spans="1:8" ht="15.75">
      <c r="A57" s="56"/>
      <c r="B57" s="40"/>
      <c r="C57" s="150"/>
      <c r="D57" s="150"/>
      <c r="E57" s="150"/>
      <c r="F57" s="58"/>
      <c r="G57" s="59"/>
      <c r="H57" s="60"/>
    </row>
    <row r="58" spans="1:8">
      <c r="A58" s="34"/>
      <c r="B58" s="36"/>
      <c r="C58" s="151"/>
      <c r="D58" s="38"/>
      <c r="E58" s="39"/>
      <c r="F58" s="151"/>
      <c r="G58" s="151"/>
      <c r="H58" s="151"/>
    </row>
  </sheetData>
  <mergeCells count="11">
    <mergeCell ref="C9:E9"/>
    <mergeCell ref="C10:D10"/>
    <mergeCell ref="A56:H56"/>
    <mergeCell ref="A2:H2"/>
    <mergeCell ref="A3:H3"/>
    <mergeCell ref="A4:H4"/>
    <mergeCell ref="B6:H6"/>
    <mergeCell ref="B7:H7"/>
    <mergeCell ref="B8:F8"/>
    <mergeCell ref="B21:D21"/>
    <mergeCell ref="B22:D22"/>
  </mergeCells>
  <pageMargins left="0.51181102362204722" right="0.51181102362204722" top="0.78740157480314965" bottom="0.78740157480314965" header="0.31496062992125984" footer="0.31496062992125984"/>
  <pageSetup paperSize="9" scale="7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H52"/>
  <sheetViews>
    <sheetView topLeftCell="A4" workbookViewId="0">
      <selection activeCell="C17" sqref="C17"/>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2</v>
      </c>
      <c r="B6" s="274" t="s">
        <v>190</v>
      </c>
      <c r="C6" s="274"/>
      <c r="D6" s="274"/>
      <c r="E6" s="274"/>
      <c r="F6" s="274"/>
      <c r="G6" s="274"/>
      <c r="H6" s="275"/>
    </row>
    <row r="7" spans="1:8" ht="40.5" customHeight="1">
      <c r="A7" s="68">
        <v>203</v>
      </c>
      <c r="B7" s="274" t="s">
        <v>201</v>
      </c>
      <c r="C7" s="274"/>
      <c r="D7" s="274"/>
      <c r="E7" s="274"/>
      <c r="F7" s="274"/>
      <c r="G7" s="274"/>
      <c r="H7" s="275"/>
    </row>
    <row r="8" spans="1:8" ht="15.75" customHeight="1">
      <c r="A8" s="69"/>
      <c r="B8" s="278"/>
      <c r="C8" s="279"/>
      <c r="D8" s="279"/>
      <c r="E8" s="279"/>
      <c r="F8" s="279"/>
      <c r="G8" s="70" t="s">
        <v>125</v>
      </c>
      <c r="H8" s="90" t="s">
        <v>5</v>
      </c>
    </row>
    <row r="9" spans="1:8">
      <c r="A9" s="45"/>
      <c r="B9" s="46"/>
      <c r="C9" s="264"/>
      <c r="D9" s="264"/>
      <c r="E9" s="264"/>
      <c r="F9" s="47"/>
      <c r="G9" s="153"/>
      <c r="H9" s="48"/>
    </row>
    <row r="10" spans="1:8" ht="15.75">
      <c r="A10" s="49" t="s">
        <v>113</v>
      </c>
      <c r="B10" s="46"/>
      <c r="C10" s="281"/>
      <c r="D10" s="281"/>
      <c r="E10" s="153"/>
      <c r="F10" s="47"/>
      <c r="G10" s="153"/>
      <c r="H10" s="48"/>
    </row>
    <row r="11" spans="1:8" ht="15.75">
      <c r="A11" s="45"/>
      <c r="B11" s="73" t="s">
        <v>114</v>
      </c>
      <c r="C11" s="73" t="s">
        <v>44</v>
      </c>
      <c r="D11" s="73"/>
      <c r="E11" s="74"/>
      <c r="F11" s="74"/>
      <c r="G11" s="74" t="s">
        <v>9</v>
      </c>
      <c r="H11" s="48"/>
    </row>
    <row r="12" spans="1:8">
      <c r="A12" s="72"/>
      <c r="B12" s="75" t="s">
        <v>200</v>
      </c>
      <c r="C12" s="76"/>
      <c r="D12" s="91"/>
      <c r="E12" s="77"/>
      <c r="F12" s="78"/>
      <c r="G12" s="78">
        <f>F25-235.05</f>
        <v>22.949999999999989</v>
      </c>
      <c r="H12" s="48"/>
    </row>
    <row r="13" spans="1:8" ht="15.75">
      <c r="A13" s="45"/>
      <c r="B13" s="87" t="s">
        <v>9</v>
      </c>
      <c r="C13" s="88"/>
      <c r="D13" s="88"/>
      <c r="E13" s="88"/>
      <c r="F13" s="88"/>
      <c r="G13" s="89">
        <f>G12</f>
        <v>22.949999999999989</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f>235.05+22.95</f>
        <v>258</v>
      </c>
      <c r="D16" s="42"/>
      <c r="E16" s="42"/>
      <c r="F16" s="42"/>
      <c r="G16" s="42"/>
      <c r="H16" s="51"/>
    </row>
    <row r="17" spans="1:8" ht="15.75">
      <c r="A17" s="52"/>
      <c r="B17" s="79" t="s">
        <v>119</v>
      </c>
      <c r="C17" s="80">
        <f>C15-C16</f>
        <v>692</v>
      </c>
      <c r="D17" s="42"/>
      <c r="E17" s="42"/>
      <c r="F17" s="42"/>
      <c r="G17" s="42"/>
      <c r="H17" s="51"/>
    </row>
    <row r="18" spans="1:8" ht="15.75">
      <c r="A18" s="152"/>
      <c r="B18" s="79" t="s">
        <v>120</v>
      </c>
      <c r="C18" s="80"/>
      <c r="D18" s="42"/>
      <c r="E18" s="42"/>
      <c r="F18" s="42"/>
      <c r="G18" s="42"/>
      <c r="H18" s="51"/>
    </row>
    <row r="19" spans="1:8" ht="15.75">
      <c r="A19" s="152"/>
      <c r="B19" s="79" t="s">
        <v>121</v>
      </c>
      <c r="C19" s="80">
        <f>G12</f>
        <v>22.949999999999989</v>
      </c>
      <c r="D19" s="42"/>
      <c r="E19" s="42"/>
      <c r="F19" s="42"/>
      <c r="G19" s="42"/>
      <c r="H19" s="51"/>
    </row>
    <row r="20" spans="1:8">
      <c r="A20" s="229"/>
      <c r="B20" s="158"/>
      <c r="C20" s="231"/>
      <c r="D20" s="42"/>
      <c r="E20" s="42"/>
      <c r="F20" s="42"/>
      <c r="G20" s="42"/>
      <c r="H20" s="51"/>
    </row>
    <row r="21" spans="1:8">
      <c r="A21" s="229"/>
      <c r="B21" s="158"/>
      <c r="C21" s="231"/>
      <c r="D21" s="42"/>
      <c r="E21" s="42"/>
      <c r="F21" s="42"/>
      <c r="G21" s="42"/>
      <c r="H21" s="51"/>
    </row>
    <row r="22" spans="1:8">
      <c r="A22" s="312" t="s">
        <v>299</v>
      </c>
      <c r="B22" s="313"/>
      <c r="C22" s="307" t="s">
        <v>302</v>
      </c>
      <c r="D22" s="307"/>
      <c r="E22" s="235"/>
      <c r="F22" s="314">
        <f>1*(2.6*2+12.5)</f>
        <v>17.7</v>
      </c>
      <c r="G22" s="314"/>
      <c r="H22" s="51"/>
    </row>
    <row r="23" spans="1:8">
      <c r="A23" s="308" t="s">
        <v>300</v>
      </c>
      <c r="B23" s="309"/>
      <c r="C23" s="307" t="s">
        <v>303</v>
      </c>
      <c r="D23" s="307"/>
      <c r="E23" s="235"/>
      <c r="F23" s="307">
        <f>11*((2*(2.4+2.6))+12.5-3.5)</f>
        <v>209</v>
      </c>
      <c r="G23" s="307"/>
      <c r="H23" s="51"/>
    </row>
    <row r="24" spans="1:8" ht="15.75" customHeight="1">
      <c r="A24" s="308" t="s">
        <v>301</v>
      </c>
      <c r="B24" s="309"/>
      <c r="C24" s="307" t="s">
        <v>304</v>
      </c>
      <c r="D24" s="307"/>
      <c r="E24" s="236"/>
      <c r="F24" s="307">
        <f>2*(2.4+4.4+2.6)+12.5</f>
        <v>31.3</v>
      </c>
      <c r="G24" s="307"/>
      <c r="H24" s="51"/>
    </row>
    <row r="25" spans="1:8">
      <c r="A25" s="232"/>
      <c r="B25" s="233"/>
      <c r="C25" s="234"/>
      <c r="D25" s="311" t="s">
        <v>9</v>
      </c>
      <c r="E25" s="311"/>
      <c r="F25" s="310">
        <f>F24+F23+F22</f>
        <v>258</v>
      </c>
      <c r="G25" s="310"/>
      <c r="H25" s="51"/>
    </row>
    <row r="26" spans="1:8">
      <c r="A26" s="229"/>
      <c r="B26" s="158"/>
      <c r="C26" s="231"/>
      <c r="D26" s="42"/>
      <c r="E26" s="42"/>
      <c r="F26" s="42"/>
      <c r="G26" s="42"/>
      <c r="H26" s="51"/>
    </row>
    <row r="27" spans="1:8">
      <c r="A27" s="229"/>
      <c r="B27" s="158"/>
      <c r="C27" s="231"/>
      <c r="D27" s="42"/>
      <c r="E27" s="42"/>
      <c r="F27" s="42"/>
      <c r="G27" s="42"/>
      <c r="H27" s="51"/>
    </row>
    <row r="28" spans="1:8">
      <c r="A28" s="229"/>
      <c r="B28" s="158"/>
      <c r="C28" s="231"/>
      <c r="D28" s="42"/>
      <c r="E28" s="42"/>
      <c r="F28" s="42"/>
      <c r="G28" s="42"/>
      <c r="H28" s="51"/>
    </row>
    <row r="29" spans="1:8">
      <c r="A29" s="229"/>
      <c r="B29" s="158"/>
      <c r="C29" s="231"/>
      <c r="D29" s="42"/>
      <c r="E29" s="42"/>
      <c r="F29" s="42"/>
      <c r="G29" s="42"/>
      <c r="H29" s="51"/>
    </row>
    <row r="30" spans="1:8">
      <c r="A30" s="229"/>
      <c r="B30" s="158"/>
      <c r="C30" s="231"/>
      <c r="D30" s="42"/>
      <c r="E30" s="42"/>
      <c r="F30" s="42"/>
      <c r="G30" s="42"/>
      <c r="H30" s="51"/>
    </row>
    <row r="31" spans="1:8" ht="15.75">
      <c r="A31" s="152"/>
      <c r="B31" s="159"/>
      <c r="C31" s="160"/>
      <c r="D31" s="42"/>
      <c r="E31" s="42"/>
      <c r="F31" s="42"/>
      <c r="G31" s="42"/>
      <c r="H31" s="51"/>
    </row>
    <row r="32" spans="1:8" ht="15.75">
      <c r="A32" s="152"/>
      <c r="B32" s="159"/>
      <c r="C32" s="160"/>
      <c r="D32" s="42"/>
      <c r="E32" s="42"/>
      <c r="F32" s="42"/>
      <c r="G32" s="43"/>
      <c r="H32" s="51"/>
    </row>
    <row r="33" spans="1:8" ht="15.75">
      <c r="A33" s="152"/>
      <c r="B33" s="159"/>
      <c r="C33" s="160"/>
      <c r="D33" s="42"/>
      <c r="E33" s="42"/>
      <c r="F33" s="42"/>
      <c r="G33" s="42"/>
      <c r="H33" s="51"/>
    </row>
    <row r="34" spans="1:8" ht="15.75">
      <c r="A34" s="152"/>
      <c r="B34" s="159"/>
      <c r="C34" s="160"/>
      <c r="D34" s="42"/>
      <c r="E34" s="42"/>
      <c r="F34" s="42"/>
      <c r="G34" s="42"/>
      <c r="H34" s="51"/>
    </row>
    <row r="35" spans="1:8" ht="15.75">
      <c r="A35" s="152"/>
      <c r="B35" s="159"/>
      <c r="C35" s="160"/>
      <c r="D35" s="42"/>
      <c r="E35" s="42"/>
      <c r="F35" s="42"/>
      <c r="G35" s="42"/>
      <c r="H35" s="51"/>
    </row>
    <row r="36" spans="1:8" ht="15.75">
      <c r="A36" s="152"/>
      <c r="B36" s="159"/>
      <c r="C36" s="160"/>
      <c r="D36" s="42"/>
      <c r="E36" s="42"/>
      <c r="F36" s="42"/>
      <c r="G36" s="42"/>
      <c r="H36" s="51"/>
    </row>
    <row r="37" spans="1:8" ht="15.75">
      <c r="A37" s="152"/>
      <c r="B37" s="159"/>
      <c r="C37" s="160"/>
      <c r="D37" s="42"/>
      <c r="E37" s="42"/>
      <c r="F37" s="42"/>
      <c r="G37" s="42"/>
      <c r="H37" s="51"/>
    </row>
    <row r="38" spans="1:8" ht="15.75">
      <c r="A38" s="152"/>
      <c r="B38" s="159"/>
      <c r="C38" s="160"/>
      <c r="D38" s="42"/>
      <c r="E38" s="42"/>
      <c r="F38" s="42"/>
      <c r="G38" s="42"/>
      <c r="H38" s="51"/>
    </row>
    <row r="39" spans="1:8" ht="15.75">
      <c r="A39" s="152"/>
      <c r="B39" s="159"/>
      <c r="C39" s="160"/>
      <c r="D39" s="42"/>
      <c r="E39" s="42"/>
      <c r="F39" s="42"/>
      <c r="G39" s="42"/>
      <c r="H39" s="51"/>
    </row>
    <row r="40" spans="1:8" ht="15.75">
      <c r="A40" s="152"/>
      <c r="B40" s="159"/>
      <c r="C40" s="160"/>
      <c r="D40" s="42"/>
      <c r="E40" s="42"/>
      <c r="F40" s="42"/>
      <c r="G40" s="42"/>
      <c r="H40" s="51"/>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24"/>
      <c r="C43" s="124"/>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46"/>
      <c r="C48" s="153"/>
      <c r="D48" s="153"/>
      <c r="E48" s="153"/>
      <c r="F48" s="47"/>
      <c r="G48" s="55"/>
      <c r="H48" s="48"/>
    </row>
    <row r="49" spans="1:8" ht="15.75">
      <c r="A49" s="81" t="s">
        <v>122</v>
      </c>
      <c r="B49" s="82"/>
      <c r="C49" s="83"/>
      <c r="D49" s="84"/>
      <c r="E49" s="85"/>
      <c r="F49" s="83"/>
      <c r="G49" s="83"/>
      <c r="H49" s="86"/>
    </row>
    <row r="50" spans="1:8" ht="15" customHeight="1">
      <c r="A50" s="261" t="s">
        <v>202</v>
      </c>
      <c r="B50" s="262"/>
      <c r="C50" s="262"/>
      <c r="D50" s="262"/>
      <c r="E50" s="262"/>
      <c r="F50" s="262"/>
      <c r="G50" s="262"/>
      <c r="H50" s="263"/>
    </row>
    <row r="51" spans="1:8" ht="15.75">
      <c r="A51" s="56"/>
      <c r="B51" s="40"/>
      <c r="C51" s="154"/>
      <c r="D51" s="154"/>
      <c r="E51" s="154"/>
      <c r="F51" s="58"/>
      <c r="G51" s="59"/>
      <c r="H51" s="60"/>
    </row>
    <row r="52" spans="1:8">
      <c r="A52" s="34"/>
      <c r="B52" s="36"/>
      <c r="C52" s="155"/>
      <c r="D52" s="38"/>
      <c r="E52" s="39"/>
      <c r="F52" s="155"/>
      <c r="G52" s="155"/>
      <c r="H52" s="155"/>
    </row>
  </sheetData>
  <mergeCells count="20">
    <mergeCell ref="B8:F8"/>
    <mergeCell ref="A22:B22"/>
    <mergeCell ref="C22:D22"/>
    <mergeCell ref="A23:B23"/>
    <mergeCell ref="C23:D23"/>
    <mergeCell ref="F22:G22"/>
    <mergeCell ref="F23:G23"/>
    <mergeCell ref="C9:E9"/>
    <mergeCell ref="C10:D10"/>
    <mergeCell ref="A2:H2"/>
    <mergeCell ref="A3:H3"/>
    <mergeCell ref="A4:H4"/>
    <mergeCell ref="B6:H6"/>
    <mergeCell ref="B7:H7"/>
    <mergeCell ref="A50:H50"/>
    <mergeCell ref="C24:D24"/>
    <mergeCell ref="A24:B24"/>
    <mergeCell ref="F24:G24"/>
    <mergeCell ref="F25:G25"/>
    <mergeCell ref="D25:E25"/>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5"/>
  <sheetViews>
    <sheetView workbookViewId="0">
      <selection activeCell="Q53" sqref="Q53"/>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2</v>
      </c>
      <c r="B6" s="274" t="s">
        <v>190</v>
      </c>
      <c r="C6" s="274"/>
      <c r="D6" s="274"/>
      <c r="E6" s="274"/>
      <c r="F6" s="274"/>
      <c r="G6" s="274"/>
      <c r="H6" s="275"/>
    </row>
    <row r="7" spans="1:8" ht="54" customHeight="1">
      <c r="A7" s="68">
        <v>204</v>
      </c>
      <c r="B7" s="298" t="s">
        <v>74</v>
      </c>
      <c r="C7" s="298"/>
      <c r="D7" s="298"/>
      <c r="E7" s="298"/>
      <c r="F7" s="298"/>
      <c r="G7" s="298"/>
      <c r="H7" s="299"/>
    </row>
    <row r="8" spans="1:8" ht="15.75" customHeight="1">
      <c r="A8" s="69"/>
      <c r="B8" s="278"/>
      <c r="C8" s="279"/>
      <c r="D8" s="279"/>
      <c r="E8" s="279"/>
      <c r="F8" s="279"/>
      <c r="G8" s="70" t="s">
        <v>125</v>
      </c>
      <c r="H8" s="90" t="s">
        <v>214</v>
      </c>
    </row>
    <row r="9" spans="1:8">
      <c r="A9" s="45"/>
      <c r="B9" s="46"/>
      <c r="C9" s="264"/>
      <c r="D9" s="264"/>
      <c r="E9" s="264"/>
      <c r="F9" s="47"/>
      <c r="G9" s="162"/>
      <c r="H9" s="48"/>
    </row>
    <row r="10" spans="1:8" ht="15.75">
      <c r="A10" s="49" t="s">
        <v>113</v>
      </c>
      <c r="B10" s="46"/>
      <c r="C10" s="281"/>
      <c r="D10" s="281"/>
      <c r="E10" s="162"/>
      <c r="F10" s="47"/>
      <c r="G10" s="162"/>
      <c r="H10" s="48"/>
    </row>
    <row r="11" spans="1:8" ht="15.75">
      <c r="A11" s="45"/>
      <c r="B11" s="73" t="s">
        <v>114</v>
      </c>
      <c r="C11" s="73" t="s">
        <v>44</v>
      </c>
      <c r="D11" s="73"/>
      <c r="E11" s="74"/>
      <c r="F11" s="74"/>
      <c r="G11" s="74" t="s">
        <v>9</v>
      </c>
      <c r="H11" s="48"/>
    </row>
    <row r="12" spans="1:8">
      <c r="A12" s="72"/>
      <c r="B12" s="75" t="s">
        <v>216</v>
      </c>
      <c r="C12" s="76"/>
      <c r="D12" s="91"/>
      <c r="E12" s="77"/>
      <c r="F12" s="78"/>
      <c r="G12" s="78">
        <f>G24</f>
        <v>425.21999999999991</v>
      </c>
      <c r="H12" s="48"/>
    </row>
    <row r="13" spans="1:8" ht="15.75">
      <c r="A13" s="45"/>
      <c r="B13" s="87" t="s">
        <v>9</v>
      </c>
      <c r="C13" s="88"/>
      <c r="D13" s="88"/>
      <c r="E13" s="88"/>
      <c r="F13" s="88"/>
      <c r="G13" s="89">
        <f>G12</f>
        <v>425.21999999999991</v>
      </c>
      <c r="H13" s="48"/>
    </row>
    <row r="14" spans="1:8">
      <c r="A14" s="45"/>
      <c r="B14" s="42"/>
      <c r="C14" s="42"/>
      <c r="D14" s="42"/>
      <c r="E14" s="42"/>
      <c r="F14" s="42"/>
      <c r="G14" s="42"/>
      <c r="H14" s="48"/>
    </row>
    <row r="15" spans="1:8" ht="15.75">
      <c r="A15" s="50"/>
      <c r="B15" s="79" t="s">
        <v>117</v>
      </c>
      <c r="C15" s="80">
        <v>4150</v>
      </c>
      <c r="D15" s="43"/>
      <c r="E15" s="42"/>
      <c r="F15" s="42"/>
      <c r="G15" s="42"/>
      <c r="H15" s="51"/>
    </row>
    <row r="16" spans="1:8" ht="15.75">
      <c r="A16" s="52"/>
      <c r="B16" s="79" t="s">
        <v>118</v>
      </c>
      <c r="C16" s="80">
        <f>C30</f>
        <v>1328.87</v>
      </c>
      <c r="D16" s="42"/>
      <c r="E16" s="42"/>
      <c r="F16" s="42"/>
      <c r="G16" s="42"/>
      <c r="H16" s="51"/>
    </row>
    <row r="17" spans="1:8" ht="15.75">
      <c r="A17" s="52"/>
      <c r="B17" s="79" t="s">
        <v>119</v>
      </c>
      <c r="C17" s="80">
        <f>C15-C16</f>
        <v>2821.13</v>
      </c>
      <c r="D17" s="42"/>
      <c r="E17" s="42"/>
      <c r="F17" s="42"/>
      <c r="G17" s="42"/>
      <c r="H17" s="51"/>
    </row>
    <row r="18" spans="1:8" ht="15.75">
      <c r="A18" s="161"/>
      <c r="B18" s="79" t="s">
        <v>120</v>
      </c>
      <c r="C18" s="80"/>
      <c r="D18" s="42"/>
      <c r="E18" s="42"/>
      <c r="F18" s="42"/>
      <c r="G18" s="42"/>
      <c r="H18" s="51"/>
    </row>
    <row r="19" spans="1:8" ht="15.75">
      <c r="A19" s="161"/>
      <c r="B19" s="79" t="s">
        <v>121</v>
      </c>
      <c r="C19" s="80">
        <f>G12</f>
        <v>425.21999999999991</v>
      </c>
      <c r="D19" s="42"/>
      <c r="E19" s="42"/>
      <c r="F19" s="42"/>
      <c r="G19" s="42"/>
      <c r="H19" s="51"/>
    </row>
    <row r="20" spans="1:8">
      <c r="A20" s="161"/>
      <c r="B20" s="280" t="s">
        <v>283</v>
      </c>
      <c r="C20" s="280"/>
      <c r="D20" s="280"/>
      <c r="H20" s="51"/>
    </row>
    <row r="21" spans="1:8">
      <c r="A21" s="161"/>
      <c r="B21" s="280" t="s">
        <v>235</v>
      </c>
      <c r="C21" s="280"/>
      <c r="D21" s="280"/>
      <c r="E21" s="170"/>
      <c r="F21" s="170" t="s">
        <v>233</v>
      </c>
      <c r="G21" s="170" t="s">
        <v>234</v>
      </c>
      <c r="H21" s="51"/>
    </row>
    <row r="22" spans="1:8">
      <c r="A22" s="161"/>
      <c r="B22" s="167" t="s">
        <v>217</v>
      </c>
      <c r="C22" s="168" t="s">
        <v>185</v>
      </c>
      <c r="D22" s="167" t="s">
        <v>218</v>
      </c>
      <c r="E22" s="190">
        <v>44501</v>
      </c>
      <c r="F22" s="170">
        <v>534.9</v>
      </c>
      <c r="G22" s="170"/>
      <c r="H22" s="51"/>
    </row>
    <row r="23" spans="1:8">
      <c r="A23" s="161"/>
      <c r="B23" s="169" t="s">
        <v>219</v>
      </c>
      <c r="C23" s="181">
        <v>91.417500000000004</v>
      </c>
      <c r="D23" s="230" t="s">
        <v>214</v>
      </c>
      <c r="E23" s="190">
        <v>44531</v>
      </c>
      <c r="F23" s="181">
        <v>903.65</v>
      </c>
      <c r="G23" s="181"/>
      <c r="H23" s="51"/>
    </row>
    <row r="24" spans="1:8">
      <c r="A24" s="161"/>
      <c r="B24" s="169" t="s">
        <v>220</v>
      </c>
      <c r="C24" s="181">
        <v>170.01200000000003</v>
      </c>
      <c r="D24" s="230" t="s">
        <v>214</v>
      </c>
      <c r="E24" s="215">
        <v>44562</v>
      </c>
      <c r="F24" s="200">
        <f>C30</f>
        <v>1328.87</v>
      </c>
      <c r="G24" s="200">
        <f>F24-F23</f>
        <v>425.21999999999991</v>
      </c>
      <c r="H24" s="51"/>
    </row>
    <row r="25" spans="1:8">
      <c r="A25" s="161"/>
      <c r="B25" s="169" t="s">
        <v>221</v>
      </c>
      <c r="C25" s="181">
        <v>133.50800000000001</v>
      </c>
      <c r="D25" s="230" t="s">
        <v>214</v>
      </c>
      <c r="H25" s="51"/>
    </row>
    <row r="26" spans="1:8">
      <c r="A26" s="161"/>
      <c r="B26" s="169" t="s">
        <v>222</v>
      </c>
      <c r="C26" s="181">
        <v>538.995</v>
      </c>
      <c r="D26" s="230" t="s">
        <v>214</v>
      </c>
      <c r="H26" s="51"/>
    </row>
    <row r="27" spans="1:8">
      <c r="A27" s="161"/>
      <c r="B27" s="169" t="s">
        <v>223</v>
      </c>
      <c r="C27" s="181">
        <v>133.50800000000001</v>
      </c>
      <c r="D27" s="230" t="s">
        <v>214</v>
      </c>
      <c r="H27" s="51"/>
    </row>
    <row r="28" spans="1:8" ht="15" customHeight="1">
      <c r="A28" s="161"/>
      <c r="B28" s="169" t="s">
        <v>224</v>
      </c>
      <c r="C28" s="181">
        <v>170.01200000000003</v>
      </c>
      <c r="D28" s="170" t="s">
        <v>214</v>
      </c>
      <c r="F28" s="180"/>
      <c r="H28" s="51"/>
    </row>
    <row r="29" spans="1:8" ht="15" customHeight="1">
      <c r="A29" s="161"/>
      <c r="B29" s="169" t="s">
        <v>230</v>
      </c>
      <c r="C29" s="181">
        <v>91.417500000000004</v>
      </c>
      <c r="D29" s="170" t="s">
        <v>214</v>
      </c>
      <c r="F29" s="180"/>
      <c r="H29" s="51"/>
    </row>
    <row r="30" spans="1:8" ht="15" customHeight="1">
      <c r="A30" s="161"/>
      <c r="B30" s="230" t="s">
        <v>9</v>
      </c>
      <c r="C30" s="171">
        <f>SUM(C23:C29)</f>
        <v>1328.87</v>
      </c>
      <c r="D30" s="170" t="s">
        <v>214</v>
      </c>
      <c r="H30" s="51"/>
    </row>
    <row r="31" spans="1:8" ht="15.75">
      <c r="A31" s="161"/>
      <c r="B31" s="159"/>
      <c r="C31" s="160"/>
      <c r="D31" s="42"/>
      <c r="E31" s="42"/>
      <c r="F31" s="42"/>
      <c r="G31" s="42"/>
      <c r="H31" s="51"/>
    </row>
    <row r="32" spans="1:8" ht="15.75">
      <c r="A32" s="161"/>
      <c r="B32" s="159"/>
      <c r="C32" s="160"/>
      <c r="D32" s="42"/>
      <c r="E32" s="42"/>
      <c r="F32" s="42"/>
      <c r="G32" s="42"/>
      <c r="H32" s="51"/>
    </row>
    <row r="33" spans="1:8" ht="15.75">
      <c r="A33" s="203"/>
      <c r="B33" s="159"/>
      <c r="C33" s="160"/>
      <c r="D33" s="42"/>
      <c r="E33" s="42"/>
      <c r="F33" s="42"/>
      <c r="G33" s="42"/>
      <c r="H33" s="51"/>
    </row>
    <row r="34" spans="1:8" ht="15.75">
      <c r="A34" s="203"/>
      <c r="B34" s="159"/>
      <c r="C34" s="160"/>
      <c r="D34" s="42"/>
      <c r="E34" s="42"/>
      <c r="F34" s="42"/>
      <c r="G34" s="42"/>
      <c r="H34" s="51"/>
    </row>
    <row r="35" spans="1:8" ht="15.75">
      <c r="A35" s="203"/>
      <c r="B35" s="159"/>
      <c r="C35" s="160"/>
      <c r="D35" s="42"/>
      <c r="E35" s="42"/>
      <c r="F35" s="42"/>
      <c r="G35" s="42"/>
      <c r="H35" s="51"/>
    </row>
    <row r="36" spans="1:8" ht="15.75">
      <c r="A36" s="203"/>
      <c r="B36" s="159"/>
      <c r="C36" s="160"/>
      <c r="D36" s="42"/>
      <c r="E36" s="42"/>
      <c r="F36" s="42"/>
      <c r="G36" s="42"/>
      <c r="H36" s="51"/>
    </row>
    <row r="37" spans="1:8" ht="15.75">
      <c r="A37" s="203"/>
      <c r="B37" s="159"/>
      <c r="C37" s="160"/>
      <c r="D37" s="42"/>
      <c r="E37" s="42"/>
      <c r="F37" s="42"/>
      <c r="G37" s="42"/>
      <c r="H37" s="51"/>
    </row>
    <row r="38" spans="1:8" ht="15.75">
      <c r="A38" s="203"/>
      <c r="B38" s="159"/>
      <c r="C38" s="160"/>
      <c r="D38" s="42"/>
      <c r="E38" s="42"/>
      <c r="F38" s="42"/>
      <c r="G38" s="42"/>
      <c r="H38" s="51"/>
    </row>
    <row r="39" spans="1:8" ht="15.75">
      <c r="A39" s="161"/>
      <c r="B39" s="159"/>
      <c r="C39" s="160"/>
      <c r="D39" s="42"/>
      <c r="E39" s="42"/>
      <c r="F39" s="42"/>
      <c r="G39" s="42"/>
      <c r="H39" s="51"/>
    </row>
    <row r="40" spans="1:8" ht="15.75">
      <c r="A40" s="161"/>
      <c r="B40" s="159"/>
      <c r="C40" s="160"/>
      <c r="D40" s="42"/>
      <c r="E40" s="42"/>
      <c r="F40" s="42"/>
      <c r="G40" s="42"/>
      <c r="H40" s="51"/>
    </row>
    <row r="41" spans="1:8" ht="15.75">
      <c r="A41" s="161"/>
      <c r="B41" s="159"/>
      <c r="C41" s="160"/>
      <c r="D41" s="42"/>
      <c r="E41" s="42"/>
      <c r="F41" s="42"/>
      <c r="G41" s="42"/>
      <c r="H41" s="51"/>
    </row>
    <row r="42" spans="1:8" ht="15.75">
      <c r="A42" s="45"/>
      <c r="B42" s="124"/>
      <c r="C42" s="124"/>
      <c r="D42" s="124"/>
      <c r="E42" s="42"/>
      <c r="F42" s="42"/>
      <c r="G42" s="35"/>
      <c r="H42" s="54"/>
    </row>
    <row r="43" spans="1:8" ht="15.75">
      <c r="A43" s="45"/>
      <c r="B43" s="124"/>
      <c r="C43" s="124"/>
      <c r="D43" s="124"/>
      <c r="E43" s="42"/>
      <c r="F43" s="42"/>
      <c r="G43" s="35"/>
      <c r="H43" s="54"/>
    </row>
    <row r="44" spans="1:8" ht="15.75">
      <c r="A44" s="45"/>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46"/>
      <c r="C51" s="162"/>
      <c r="D51" s="162"/>
      <c r="E51" s="162"/>
      <c r="F51" s="47"/>
      <c r="G51" s="55"/>
      <c r="H51" s="48"/>
    </row>
    <row r="52" spans="1:8" ht="15.75">
      <c r="A52" s="81" t="s">
        <v>122</v>
      </c>
      <c r="B52" s="82"/>
      <c r="C52" s="83"/>
      <c r="D52" s="84"/>
      <c r="E52" s="85"/>
      <c r="F52" s="83"/>
      <c r="G52" s="83"/>
      <c r="H52" s="86"/>
    </row>
    <row r="53" spans="1:8" ht="15" customHeight="1">
      <c r="A53" s="261" t="s">
        <v>202</v>
      </c>
      <c r="B53" s="262"/>
      <c r="C53" s="262"/>
      <c r="D53" s="262"/>
      <c r="E53" s="262"/>
      <c r="F53" s="262"/>
      <c r="G53" s="262"/>
      <c r="H53" s="263"/>
    </row>
    <row r="54" spans="1:8" ht="15.75">
      <c r="A54" s="56"/>
      <c r="B54" s="40"/>
      <c r="C54" s="163"/>
      <c r="D54" s="163"/>
      <c r="E54" s="163"/>
      <c r="F54" s="58"/>
      <c r="G54" s="59"/>
      <c r="H54" s="60"/>
    </row>
    <row r="55" spans="1:8">
      <c r="A55" s="34"/>
      <c r="B55" s="36"/>
      <c r="C55" s="164"/>
      <c r="D55" s="38"/>
      <c r="E55" s="39"/>
      <c r="F55" s="164"/>
      <c r="G55" s="164"/>
      <c r="H55" s="164"/>
    </row>
  </sheetData>
  <mergeCells count="11">
    <mergeCell ref="C9:E9"/>
    <mergeCell ref="C10:D10"/>
    <mergeCell ref="A53:H53"/>
    <mergeCell ref="A2:H2"/>
    <mergeCell ref="A3:H3"/>
    <mergeCell ref="A4:H4"/>
    <mergeCell ref="B6:H6"/>
    <mergeCell ref="B7:H7"/>
    <mergeCell ref="B8:F8"/>
    <mergeCell ref="B20:D20"/>
    <mergeCell ref="B21:D21"/>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54"/>
  <sheetViews>
    <sheetView topLeftCell="A37" workbookViewId="0">
      <selection activeCell="C26" sqref="C26"/>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2</v>
      </c>
      <c r="B6" s="274" t="s">
        <v>190</v>
      </c>
      <c r="C6" s="274"/>
      <c r="D6" s="274"/>
      <c r="E6" s="274"/>
      <c r="F6" s="274"/>
      <c r="G6" s="274"/>
      <c r="H6" s="275"/>
    </row>
    <row r="7" spans="1:8" ht="64.5" customHeight="1">
      <c r="A7" s="68">
        <v>205</v>
      </c>
      <c r="B7" s="298" t="s">
        <v>75</v>
      </c>
      <c r="C7" s="298"/>
      <c r="D7" s="298"/>
      <c r="E7" s="298"/>
      <c r="F7" s="298"/>
      <c r="G7" s="298"/>
      <c r="H7" s="299"/>
    </row>
    <row r="8" spans="1:8" ht="15.75" customHeight="1">
      <c r="A8" s="69"/>
      <c r="B8" s="278"/>
      <c r="C8" s="279"/>
      <c r="D8" s="279"/>
      <c r="E8" s="279"/>
      <c r="F8" s="279"/>
      <c r="G8" s="70" t="s">
        <v>125</v>
      </c>
      <c r="H8" s="90" t="s">
        <v>214</v>
      </c>
    </row>
    <row r="9" spans="1:8">
      <c r="A9" s="45"/>
      <c r="B9" s="46"/>
      <c r="C9" s="264"/>
      <c r="D9" s="264"/>
      <c r="E9" s="264"/>
      <c r="F9" s="47"/>
      <c r="G9" s="162"/>
      <c r="H9" s="48"/>
    </row>
    <row r="10" spans="1:8" ht="15.75">
      <c r="A10" s="49" t="s">
        <v>113</v>
      </c>
      <c r="B10" s="46"/>
      <c r="C10" s="281"/>
      <c r="D10" s="281"/>
      <c r="E10" s="162"/>
      <c r="F10" s="47"/>
      <c r="G10" s="162"/>
      <c r="H10" s="48"/>
    </row>
    <row r="11" spans="1:8" ht="15.75">
      <c r="A11" s="45"/>
      <c r="B11" s="73" t="s">
        <v>114</v>
      </c>
      <c r="C11" s="73" t="s">
        <v>44</v>
      </c>
      <c r="D11" s="73"/>
      <c r="E11" s="74"/>
      <c r="F11" s="74"/>
      <c r="G11" s="74" t="s">
        <v>9</v>
      </c>
      <c r="H11" s="48"/>
    </row>
    <row r="12" spans="1:8">
      <c r="A12" s="72"/>
      <c r="B12" s="75" t="s">
        <v>215</v>
      </c>
      <c r="C12" s="76"/>
      <c r="D12" s="91"/>
      <c r="E12" s="77"/>
      <c r="F12" s="78"/>
      <c r="G12" s="78">
        <v>189.18</v>
      </c>
      <c r="H12" s="48"/>
    </row>
    <row r="13" spans="1:8" ht="15.75">
      <c r="A13" s="45"/>
      <c r="B13" s="87" t="s">
        <v>9</v>
      </c>
      <c r="C13" s="88"/>
      <c r="D13" s="88"/>
      <c r="E13" s="88"/>
      <c r="F13" s="88"/>
      <c r="G13" s="89">
        <f>G12</f>
        <v>189.18</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f>744.75+C19</f>
        <v>933.93000000000006</v>
      </c>
      <c r="D16" s="42"/>
      <c r="E16" s="42"/>
      <c r="F16" s="42"/>
      <c r="G16" s="42"/>
      <c r="H16" s="51"/>
    </row>
    <row r="17" spans="1:8" ht="15.75">
      <c r="A17" s="52"/>
      <c r="B17" s="79" t="s">
        <v>119</v>
      </c>
      <c r="C17" s="80">
        <f>C15-C16</f>
        <v>3216.0699999999997</v>
      </c>
      <c r="D17" s="42"/>
      <c r="E17" s="42"/>
      <c r="F17" s="42"/>
      <c r="G17" s="42"/>
      <c r="H17" s="51"/>
    </row>
    <row r="18" spans="1:8" ht="15.75">
      <c r="A18" s="161"/>
      <c r="B18" s="79" t="s">
        <v>120</v>
      </c>
      <c r="C18" s="80"/>
      <c r="D18" s="42"/>
      <c r="E18" s="42"/>
      <c r="F18" s="42"/>
      <c r="G18" s="42"/>
      <c r="H18" s="51"/>
    </row>
    <row r="19" spans="1:8" ht="15.75">
      <c r="A19" s="161"/>
      <c r="B19" s="79" t="s">
        <v>121</v>
      </c>
      <c r="C19" s="80">
        <f>G12</f>
        <v>189.18</v>
      </c>
      <c r="D19" s="42"/>
      <c r="E19" s="42"/>
      <c r="F19" s="42"/>
      <c r="G19" s="42"/>
      <c r="H19" s="51"/>
    </row>
    <row r="20" spans="1:8" ht="15.75">
      <c r="A20" s="161"/>
      <c r="B20" s="159"/>
      <c r="C20" s="160"/>
      <c r="D20" s="42"/>
      <c r="E20" s="42"/>
      <c r="F20" s="42"/>
      <c r="G20" s="42"/>
      <c r="H20" s="51"/>
    </row>
    <row r="21" spans="1:8">
      <c r="A21" s="161"/>
      <c r="B21" s="280" t="s">
        <v>282</v>
      </c>
      <c r="C21" s="280"/>
      <c r="D21" s="280"/>
      <c r="H21" s="51"/>
    </row>
    <row r="22" spans="1:8">
      <c r="A22" s="161"/>
      <c r="B22" s="280" t="s">
        <v>236</v>
      </c>
      <c r="C22" s="280"/>
      <c r="D22" s="280"/>
      <c r="E22" s="170"/>
      <c r="F22" s="170" t="s">
        <v>233</v>
      </c>
      <c r="G22" s="170" t="s">
        <v>234</v>
      </c>
      <c r="H22" s="51"/>
    </row>
    <row r="23" spans="1:8">
      <c r="A23" s="161"/>
      <c r="B23" s="167" t="s">
        <v>217</v>
      </c>
      <c r="C23" s="168" t="s">
        <v>185</v>
      </c>
      <c r="D23" s="167" t="s">
        <v>218</v>
      </c>
      <c r="E23" s="190">
        <v>44501</v>
      </c>
      <c r="F23" s="170">
        <v>376</v>
      </c>
      <c r="G23" s="170"/>
      <c r="H23" s="51"/>
    </row>
    <row r="24" spans="1:8">
      <c r="A24" s="161"/>
      <c r="B24" s="169" t="s">
        <v>219</v>
      </c>
      <c r="C24" s="171">
        <f>'204'!C23</f>
        <v>91.417500000000004</v>
      </c>
      <c r="D24" s="204" t="s">
        <v>214</v>
      </c>
      <c r="E24" s="190">
        <v>44531</v>
      </c>
      <c r="F24" s="181">
        <v>744.75</v>
      </c>
      <c r="G24" s="181">
        <f>F24-F23</f>
        <v>368.75</v>
      </c>
      <c r="H24" s="51"/>
    </row>
    <row r="25" spans="1:8">
      <c r="A25" s="161"/>
      <c r="B25" s="169" t="s">
        <v>220</v>
      </c>
      <c r="C25" s="171">
        <f>'204'!C24</f>
        <v>170.01200000000003</v>
      </c>
      <c r="D25" s="204" t="s">
        <v>214</v>
      </c>
      <c r="E25" s="215">
        <v>44562</v>
      </c>
      <c r="F25" s="200">
        <f>C28</f>
        <v>933.9325</v>
      </c>
      <c r="G25" s="200">
        <f>F25-F24</f>
        <v>189.1825</v>
      </c>
      <c r="H25" s="51"/>
    </row>
    <row r="26" spans="1:8">
      <c r="A26" s="161"/>
      <c r="B26" s="169" t="s">
        <v>221</v>
      </c>
      <c r="C26" s="171">
        <f>'204'!C25</f>
        <v>133.50800000000001</v>
      </c>
      <c r="D26" s="204" t="s">
        <v>214</v>
      </c>
      <c r="H26" s="51"/>
    </row>
    <row r="27" spans="1:8">
      <c r="A27" s="161"/>
      <c r="B27" s="169" t="s">
        <v>222</v>
      </c>
      <c r="C27" s="171">
        <f>'204'!C26</f>
        <v>538.995</v>
      </c>
      <c r="D27" s="204" t="s">
        <v>214</v>
      </c>
      <c r="H27" s="51"/>
    </row>
    <row r="28" spans="1:8">
      <c r="A28" s="161"/>
      <c r="B28" s="204" t="s">
        <v>9</v>
      </c>
      <c r="C28" s="171">
        <f>SUM(C24:C27)</f>
        <v>933.9325</v>
      </c>
      <c r="D28" s="170" t="s">
        <v>214</v>
      </c>
      <c r="H28" s="51"/>
    </row>
    <row r="29" spans="1:8">
      <c r="A29" s="203"/>
      <c r="B29" s="216"/>
      <c r="C29" s="217"/>
      <c r="D29" s="218"/>
      <c r="E29" s="141"/>
      <c r="F29" s="180"/>
      <c r="H29" s="51"/>
    </row>
    <row r="30" spans="1:8">
      <c r="A30" s="203"/>
      <c r="B30" s="141"/>
      <c r="C30" s="219"/>
      <c r="D30" s="220"/>
      <c r="E30" s="141"/>
      <c r="F30" s="180"/>
      <c r="H30" s="51"/>
    </row>
    <row r="31" spans="1:8">
      <c r="A31" s="203"/>
      <c r="B31" s="141"/>
      <c r="C31" s="219"/>
      <c r="D31" s="220"/>
      <c r="E31" s="141"/>
      <c r="F31" s="180"/>
      <c r="H31" s="51"/>
    </row>
    <row r="32" spans="1:8">
      <c r="A32" s="203"/>
      <c r="B32" s="141"/>
      <c r="C32" s="219"/>
      <c r="D32" s="220"/>
      <c r="E32" s="141"/>
      <c r="F32" s="180"/>
      <c r="H32" s="51"/>
    </row>
    <row r="33" spans="1:8">
      <c r="A33" s="203"/>
      <c r="B33" s="141"/>
      <c r="C33" s="219"/>
      <c r="D33" s="220"/>
      <c r="E33" s="141"/>
      <c r="F33" s="180"/>
      <c r="H33" s="51"/>
    </row>
    <row r="34" spans="1:8">
      <c r="A34" s="203"/>
      <c r="B34" s="141"/>
      <c r="C34" s="219"/>
      <c r="D34" s="220"/>
      <c r="E34" s="141"/>
      <c r="F34" s="180"/>
      <c r="H34" s="51"/>
    </row>
    <row r="35" spans="1:8">
      <c r="A35" s="203"/>
      <c r="B35" s="141"/>
      <c r="C35" s="219"/>
      <c r="D35" s="220"/>
      <c r="E35" s="141"/>
      <c r="F35" s="180"/>
      <c r="H35" s="51"/>
    </row>
    <row r="36" spans="1:8">
      <c r="A36" s="203"/>
      <c r="B36" s="221"/>
      <c r="C36" s="219"/>
      <c r="D36" s="220"/>
      <c r="E36" s="141"/>
      <c r="H36" s="51"/>
    </row>
    <row r="37" spans="1:8" ht="15.75">
      <c r="A37" s="203"/>
      <c r="B37" s="159"/>
      <c r="C37" s="160"/>
      <c r="D37" s="42"/>
      <c r="E37" s="42"/>
      <c r="F37" s="42"/>
      <c r="G37" s="42"/>
      <c r="H37" s="51"/>
    </row>
    <row r="38" spans="1:8" ht="15.75">
      <c r="A38" s="161"/>
      <c r="B38" s="159"/>
      <c r="C38" s="160"/>
      <c r="D38" s="42"/>
      <c r="E38" s="42"/>
      <c r="F38" s="42"/>
      <c r="G38" s="42"/>
      <c r="H38" s="51"/>
    </row>
    <row r="39" spans="1:8" ht="15.75">
      <c r="A39" s="161"/>
      <c r="B39" s="159"/>
      <c r="C39" s="160"/>
      <c r="D39" s="42"/>
      <c r="E39" s="42"/>
      <c r="F39" s="42"/>
      <c r="G39" s="42"/>
      <c r="H39" s="51"/>
    </row>
    <row r="40" spans="1:8" ht="15.75">
      <c r="A40" s="161"/>
      <c r="B40" s="159"/>
      <c r="C40" s="160"/>
      <c r="D40" s="42"/>
      <c r="E40" s="42"/>
      <c r="F40" s="42"/>
      <c r="G40" s="42"/>
      <c r="H40" s="51"/>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261" t="s">
        <v>202</v>
      </c>
      <c r="B52" s="262"/>
      <c r="C52" s="262"/>
      <c r="D52" s="262"/>
      <c r="E52" s="262"/>
      <c r="F52" s="262"/>
      <c r="G52" s="262"/>
      <c r="H52" s="263"/>
    </row>
    <row r="53" spans="1:8" ht="15.75">
      <c r="A53" s="56"/>
      <c r="B53" s="40"/>
      <c r="C53" s="163"/>
      <c r="D53" s="163"/>
      <c r="E53" s="163"/>
      <c r="F53" s="58"/>
      <c r="G53" s="59"/>
      <c r="H53" s="60"/>
    </row>
    <row r="54" spans="1:8">
      <c r="A54" s="34"/>
      <c r="B54" s="36"/>
      <c r="C54" s="164"/>
      <c r="D54" s="38"/>
      <c r="E54" s="39"/>
      <c r="F54" s="164"/>
      <c r="G54" s="164"/>
      <c r="H54" s="164"/>
    </row>
  </sheetData>
  <mergeCells count="11">
    <mergeCell ref="C9:E9"/>
    <mergeCell ref="C10:D10"/>
    <mergeCell ref="A52:H52"/>
    <mergeCell ref="A2:H2"/>
    <mergeCell ref="A3:H3"/>
    <mergeCell ref="A4:H4"/>
    <mergeCell ref="B6:H6"/>
    <mergeCell ref="B7:H7"/>
    <mergeCell ref="B8:F8"/>
    <mergeCell ref="B21:D21"/>
    <mergeCell ref="B22:D22"/>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21" t="s">
        <v>49</v>
      </c>
      <c r="C1" s="321"/>
      <c r="D1" s="321"/>
      <c r="E1" s="321"/>
    </row>
    <row r="2" spans="1:5" s="29" customFormat="1" ht="17.45" customHeight="1">
      <c r="A2" s="28"/>
      <c r="B2" s="325" t="s">
        <v>6</v>
      </c>
      <c r="C2" s="325"/>
      <c r="D2" s="325"/>
      <c r="E2" s="325"/>
    </row>
    <row r="3" spans="1:5" s="29" customFormat="1" ht="17.45" customHeight="1">
      <c r="A3" s="28"/>
      <c r="B3" s="321" t="s">
        <v>7</v>
      </c>
      <c r="C3" s="321"/>
      <c r="D3" s="321"/>
      <c r="E3" s="321"/>
    </row>
    <row r="4" spans="1:5" s="6" customFormat="1" ht="17.45" customHeight="1">
      <c r="A4" s="24"/>
      <c r="B4" s="322" t="s">
        <v>0</v>
      </c>
      <c r="C4" s="322"/>
      <c r="D4" s="322"/>
      <c r="E4" s="322"/>
    </row>
    <row r="5" spans="1:5" s="6" customFormat="1">
      <c r="A5" s="24"/>
      <c r="B5" s="3"/>
      <c r="C5" s="4"/>
      <c r="D5" s="5"/>
      <c r="E5" s="5"/>
    </row>
    <row r="6" spans="1:5" s="6" customFormat="1" ht="35.450000000000003" customHeight="1">
      <c r="A6" s="25" t="s">
        <v>1</v>
      </c>
      <c r="B6" s="324" t="e">
        <f>#REF!</f>
        <v>#REF!</v>
      </c>
      <c r="C6" s="324"/>
      <c r="D6" s="324"/>
      <c r="E6" s="324"/>
    </row>
    <row r="7" spans="1:5" s="6" customFormat="1" ht="27.6" customHeight="1">
      <c r="A7" s="24" t="s">
        <v>2</v>
      </c>
      <c r="B7" s="324" t="e">
        <f>#REF!</f>
        <v>#REF!</v>
      </c>
      <c r="C7" s="324"/>
      <c r="D7" s="323" t="s">
        <v>48</v>
      </c>
      <c r="E7" s="323"/>
    </row>
    <row r="8" spans="1:5" s="6" customFormat="1">
      <c r="A8" s="24"/>
      <c r="B8" s="3"/>
      <c r="C8" s="4"/>
      <c r="D8" s="5"/>
      <c r="E8" s="5"/>
    </row>
    <row r="9" spans="1:5" s="6" customFormat="1" ht="12.75" customHeight="1">
      <c r="A9" s="315" t="s">
        <v>54</v>
      </c>
      <c r="B9" s="315"/>
      <c r="C9" s="315"/>
      <c r="D9" s="315"/>
      <c r="E9" s="315"/>
    </row>
    <row r="10" spans="1:5" s="6" customFormat="1" ht="13.5" customHeight="1">
      <c r="A10" s="315"/>
      <c r="B10" s="315"/>
      <c r="C10" s="315"/>
      <c r="D10" s="315"/>
      <c r="E10" s="315"/>
    </row>
    <row r="11" spans="1:5">
      <c r="A11" s="22"/>
      <c r="B11" s="21"/>
      <c r="C11" s="22"/>
      <c r="D11" s="21"/>
      <c r="E11" s="21"/>
    </row>
    <row r="12" spans="1:5">
      <c r="A12" s="17" t="s">
        <v>12</v>
      </c>
      <c r="B12" s="317" t="s">
        <v>13</v>
      </c>
      <c r="C12" s="317"/>
      <c r="D12" s="317"/>
      <c r="E12" s="18">
        <f>SUM(E13:E16)</f>
        <v>3.4000000000000002E-2</v>
      </c>
    </row>
    <row r="13" spans="1:5">
      <c r="A13" s="19" t="s">
        <v>14</v>
      </c>
      <c r="B13" s="318" t="s">
        <v>15</v>
      </c>
      <c r="C13" s="318"/>
      <c r="D13" s="318"/>
      <c r="E13" s="20">
        <v>1.4999999999999999E-2</v>
      </c>
    </row>
    <row r="14" spans="1:5">
      <c r="A14" s="19" t="s">
        <v>16</v>
      </c>
      <c r="B14" s="318" t="s">
        <v>46</v>
      </c>
      <c r="C14" s="318"/>
      <c r="D14" s="318"/>
      <c r="E14" s="20">
        <v>7.0000000000000001E-3</v>
      </c>
    </row>
    <row r="15" spans="1:5">
      <c r="A15" s="19" t="s">
        <v>17</v>
      </c>
      <c r="B15" s="318" t="s">
        <v>18</v>
      </c>
      <c r="C15" s="318"/>
      <c r="D15" s="318"/>
      <c r="E15" s="20">
        <v>8.5000000000000006E-3</v>
      </c>
    </row>
    <row r="16" spans="1:5" ht="16.5" customHeight="1">
      <c r="A16" s="19" t="s">
        <v>19</v>
      </c>
      <c r="B16" s="318" t="s">
        <v>47</v>
      </c>
      <c r="C16" s="318"/>
      <c r="D16" s="318"/>
      <c r="E16" s="20">
        <v>3.5000000000000001E-3</v>
      </c>
    </row>
    <row r="17" spans="1:5">
      <c r="A17" s="19"/>
      <c r="B17" s="318"/>
      <c r="C17" s="318"/>
      <c r="D17" s="318"/>
      <c r="E17" s="16"/>
    </row>
    <row r="18" spans="1:5">
      <c r="A18" s="17" t="s">
        <v>20</v>
      </c>
      <c r="B18" s="317" t="s">
        <v>21</v>
      </c>
      <c r="C18" s="317"/>
      <c r="D18" s="317"/>
      <c r="E18" s="18">
        <f>SUM(E19:E23)</f>
        <v>6.6500000000000004E-2</v>
      </c>
    </row>
    <row r="19" spans="1:5">
      <c r="A19" s="19" t="s">
        <v>22</v>
      </c>
      <c r="B19" s="318" t="s">
        <v>23</v>
      </c>
      <c r="C19" s="318"/>
      <c r="D19" s="318"/>
      <c r="E19" s="20">
        <v>6.4999999999999997E-3</v>
      </c>
    </row>
    <row r="20" spans="1:5">
      <c r="A20" s="19" t="s">
        <v>24</v>
      </c>
      <c r="B20" s="318" t="s">
        <v>25</v>
      </c>
      <c r="C20" s="318"/>
      <c r="D20" s="318"/>
      <c r="E20" s="20">
        <v>0.03</v>
      </c>
    </row>
    <row r="21" spans="1:5">
      <c r="A21" s="19" t="s">
        <v>26</v>
      </c>
      <c r="B21" s="318" t="s">
        <v>27</v>
      </c>
      <c r="C21" s="318"/>
      <c r="D21" s="318"/>
      <c r="E21" s="20">
        <v>0</v>
      </c>
    </row>
    <row r="22" spans="1:5">
      <c r="A22" s="19" t="s">
        <v>28</v>
      </c>
      <c r="B22" s="26" t="s">
        <v>50</v>
      </c>
      <c r="C22" s="26"/>
      <c r="D22" s="26"/>
      <c r="E22" s="20">
        <v>0.03</v>
      </c>
    </row>
    <row r="23" spans="1:5">
      <c r="A23" s="19" t="s">
        <v>28</v>
      </c>
      <c r="B23" s="318" t="s">
        <v>29</v>
      </c>
      <c r="C23" s="318"/>
      <c r="D23" s="318"/>
      <c r="E23" s="20">
        <v>0</v>
      </c>
    </row>
    <row r="24" spans="1:5">
      <c r="A24" s="19"/>
      <c r="B24" s="318"/>
      <c r="C24" s="318"/>
      <c r="D24" s="318"/>
      <c r="E24" s="16"/>
    </row>
    <row r="25" spans="1:5">
      <c r="A25" s="17" t="s">
        <v>30</v>
      </c>
      <c r="B25" s="317" t="s">
        <v>31</v>
      </c>
      <c r="C25" s="317"/>
      <c r="D25" s="317"/>
      <c r="E25" s="18">
        <f>SUM(E26:E26)</f>
        <v>3.5000000000000003E-2</v>
      </c>
    </row>
    <row r="26" spans="1:5">
      <c r="A26" s="19" t="s">
        <v>32</v>
      </c>
      <c r="B26" s="318" t="s">
        <v>33</v>
      </c>
      <c r="C26" s="318"/>
      <c r="D26" s="318"/>
      <c r="E26" s="20">
        <v>3.5000000000000003E-2</v>
      </c>
    </row>
    <row r="27" spans="1:5">
      <c r="A27" s="19"/>
      <c r="B27" s="318"/>
      <c r="C27" s="318"/>
      <c r="D27" s="318"/>
      <c r="E27" s="19"/>
    </row>
    <row r="28" spans="1:5">
      <c r="A28" s="17" t="s">
        <v>34</v>
      </c>
      <c r="B28" s="317" t="s">
        <v>35</v>
      </c>
      <c r="C28" s="317"/>
      <c r="D28" s="317"/>
      <c r="E28" s="18">
        <f>(((1+E13+E14+E16)*(1+E15)*(1+E26))/(1-E18))-1</f>
        <v>0.14666774102838764</v>
      </c>
    </row>
    <row r="29" spans="1:5">
      <c r="A29" s="9"/>
      <c r="B29" s="7"/>
      <c r="C29" s="9"/>
      <c r="D29" s="7"/>
      <c r="E29" s="7"/>
    </row>
    <row r="30" spans="1:5" ht="38.25" customHeight="1">
      <c r="A30" s="316" t="s">
        <v>36</v>
      </c>
      <c r="B30" s="316"/>
      <c r="C30" s="316"/>
      <c r="D30" s="316"/>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319"/>
      <c r="B44" s="319"/>
      <c r="C44" s="319"/>
      <c r="D44" s="319"/>
      <c r="E44" s="319"/>
    </row>
    <row r="45" spans="1:5">
      <c r="A45" s="30"/>
      <c r="B45" s="23"/>
      <c r="C45" s="23"/>
      <c r="D45" s="23"/>
      <c r="E45" s="23"/>
    </row>
    <row r="46" spans="1:5">
      <c r="A46" s="320" t="s">
        <v>51</v>
      </c>
      <c r="B46" s="320"/>
      <c r="C46" s="320"/>
      <c r="D46" s="320"/>
      <c r="E46" s="320"/>
    </row>
    <row r="47" spans="1:5">
      <c r="A47" s="320" t="s">
        <v>52</v>
      </c>
      <c r="B47" s="320"/>
      <c r="C47" s="320"/>
      <c r="D47" s="320"/>
      <c r="E47" s="320"/>
    </row>
    <row r="48" spans="1:5">
      <c r="A48" s="320" t="s">
        <v>53</v>
      </c>
      <c r="B48" s="320"/>
      <c r="C48" s="320"/>
      <c r="D48" s="320"/>
      <c r="E48" s="320"/>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4"/>
  <sheetViews>
    <sheetView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32.25" customHeight="1">
      <c r="A7" s="68">
        <v>102</v>
      </c>
      <c r="B7" s="276" t="s">
        <v>57</v>
      </c>
      <c r="C7" s="276"/>
      <c r="D7" s="276"/>
      <c r="E7" s="276"/>
      <c r="F7" s="276"/>
      <c r="G7" s="276"/>
      <c r="H7" s="277"/>
    </row>
    <row r="8" spans="1:8" ht="15.75" customHeight="1">
      <c r="A8" s="69"/>
      <c r="B8" s="278"/>
      <c r="C8" s="279"/>
      <c r="D8" s="279"/>
      <c r="E8" s="279"/>
      <c r="F8" s="279"/>
      <c r="G8" s="70" t="s">
        <v>125</v>
      </c>
      <c r="H8" s="71" t="s">
        <v>126</v>
      </c>
    </row>
    <row r="9" spans="1:8">
      <c r="A9" s="45"/>
      <c r="B9" s="46"/>
      <c r="C9" s="264"/>
      <c r="D9" s="264"/>
      <c r="E9" s="264"/>
      <c r="F9" s="47"/>
      <c r="G9" s="61"/>
      <c r="H9" s="48"/>
    </row>
    <row r="10" spans="1:8" ht="15.75">
      <c r="A10" s="49" t="s">
        <v>113</v>
      </c>
      <c r="B10" s="46"/>
      <c r="C10" s="61" t="s">
        <v>127</v>
      </c>
      <c r="D10" s="61"/>
      <c r="E10" s="61"/>
      <c r="F10" s="47"/>
      <c r="G10" s="61"/>
      <c r="H10" s="48"/>
    </row>
    <row r="11" spans="1:8" ht="15.75">
      <c r="A11" s="45"/>
      <c r="B11" s="73" t="s">
        <v>114</v>
      </c>
      <c r="C11" s="73"/>
      <c r="D11" s="73"/>
      <c r="E11" s="74" t="s">
        <v>115</v>
      </c>
      <c r="F11" s="74" t="s">
        <v>116</v>
      </c>
      <c r="G11" s="74" t="s">
        <v>9</v>
      </c>
      <c r="H11" s="48"/>
    </row>
    <row r="12" spans="1:8">
      <c r="A12" s="72"/>
      <c r="B12" s="75" t="s">
        <v>128</v>
      </c>
      <c r="C12" s="76"/>
      <c r="D12" s="77"/>
      <c r="E12" s="77"/>
      <c r="F12" s="78"/>
      <c r="G12" s="78">
        <f>F26</f>
        <v>642.59730000000013</v>
      </c>
      <c r="H12" s="48"/>
    </row>
    <row r="13" spans="1:8" ht="15.75">
      <c r="A13" s="45"/>
      <c r="B13" s="87" t="s">
        <v>9</v>
      </c>
      <c r="C13" s="88"/>
      <c r="D13" s="88"/>
      <c r="E13" s="88"/>
      <c r="F13" s="88"/>
      <c r="G13" s="89">
        <f>SUM(G12:G12)</f>
        <v>642.59730000000013</v>
      </c>
      <c r="H13" s="48"/>
    </row>
    <row r="14" spans="1:8">
      <c r="A14" s="45"/>
      <c r="B14" s="42"/>
      <c r="C14" s="42"/>
      <c r="D14" s="42"/>
      <c r="E14" s="42"/>
      <c r="F14" s="42"/>
      <c r="G14" s="42"/>
      <c r="H14" s="48"/>
    </row>
    <row r="15" spans="1:8" ht="15.75">
      <c r="A15" s="50"/>
      <c r="B15" s="79" t="s">
        <v>117</v>
      </c>
      <c r="C15" s="80">
        <v>4300</v>
      </c>
      <c r="D15" s="43" t="s">
        <v>237</v>
      </c>
      <c r="E15" s="43" t="s">
        <v>242</v>
      </c>
      <c r="F15" s="42" t="s">
        <v>276</v>
      </c>
      <c r="G15" s="42"/>
      <c r="H15" s="51"/>
    </row>
    <row r="16" spans="1:8" ht="15.75">
      <c r="A16" s="52"/>
      <c r="B16" s="79" t="s">
        <v>118</v>
      </c>
      <c r="C16" s="80">
        <f>1247.67+C19</f>
        <v>1890.2673000000002</v>
      </c>
      <c r="D16" s="42">
        <v>1036.6600000000001</v>
      </c>
      <c r="E16" s="42">
        <v>1247.67</v>
      </c>
      <c r="F16" s="42">
        <f>B36</f>
        <v>1890.2673</v>
      </c>
      <c r="G16" s="42"/>
      <c r="H16" s="51"/>
    </row>
    <row r="17" spans="1:8" ht="15.75">
      <c r="A17" s="52"/>
      <c r="B17" s="79" t="s">
        <v>119</v>
      </c>
      <c r="C17" s="80">
        <f>C15-C16</f>
        <v>2409.7326999999996</v>
      </c>
      <c r="D17" s="42"/>
      <c r="E17" s="42"/>
      <c r="F17" s="42"/>
      <c r="G17" s="42"/>
      <c r="H17" s="51"/>
    </row>
    <row r="18" spans="1:8" ht="15.75">
      <c r="A18" s="63"/>
      <c r="B18" s="79" t="s">
        <v>120</v>
      </c>
      <c r="C18" s="80"/>
      <c r="D18" s="42"/>
      <c r="E18" s="42"/>
      <c r="F18" s="42"/>
      <c r="G18" s="42"/>
      <c r="H18" s="51"/>
    </row>
    <row r="19" spans="1:8" ht="15.75">
      <c r="A19" s="63"/>
      <c r="B19" s="79" t="s">
        <v>121</v>
      </c>
      <c r="C19" s="80">
        <f>G13</f>
        <v>642.59730000000013</v>
      </c>
      <c r="D19" s="42"/>
      <c r="E19" s="42"/>
      <c r="F19" s="42"/>
      <c r="G19" s="42"/>
      <c r="H19" s="51"/>
    </row>
    <row r="20" spans="1:8">
      <c r="A20" s="63"/>
      <c r="H20" s="51"/>
    </row>
    <row r="21" spans="1:8">
      <c r="A21" s="280" t="s">
        <v>284</v>
      </c>
      <c r="B21" s="280"/>
      <c r="C21" s="280"/>
      <c r="H21" s="51"/>
    </row>
    <row r="22" spans="1:8">
      <c r="A22" s="280" t="s">
        <v>229</v>
      </c>
      <c r="B22" s="280"/>
      <c r="C22" s="280"/>
      <c r="H22" s="51"/>
    </row>
    <row r="23" spans="1:8">
      <c r="A23" s="167" t="s">
        <v>217</v>
      </c>
      <c r="B23" s="168" t="s">
        <v>185</v>
      </c>
      <c r="C23" s="167" t="s">
        <v>218</v>
      </c>
      <c r="D23" s="195" t="s">
        <v>102</v>
      </c>
      <c r="E23" s="169" t="s">
        <v>231</v>
      </c>
      <c r="F23" s="170" t="s">
        <v>232</v>
      </c>
      <c r="H23" s="51"/>
    </row>
    <row r="24" spans="1:8">
      <c r="A24" s="169" t="s">
        <v>219</v>
      </c>
      <c r="B24" s="197">
        <v>91.417500000000004</v>
      </c>
      <c r="C24" s="195" t="s">
        <v>214</v>
      </c>
      <c r="D24" s="176">
        <v>44501</v>
      </c>
      <c r="E24" s="169">
        <v>1074.92</v>
      </c>
      <c r="F24" s="169"/>
      <c r="H24" s="51"/>
    </row>
    <row r="25" spans="1:8">
      <c r="A25" s="169" t="s">
        <v>220</v>
      </c>
      <c r="B25" s="197">
        <v>170.01200000000003</v>
      </c>
      <c r="C25" s="195" t="s">
        <v>214</v>
      </c>
      <c r="D25" s="176">
        <v>44531</v>
      </c>
      <c r="E25" s="184">
        <v>1247.6699999999998</v>
      </c>
      <c r="F25" s="169">
        <f>E25-E24</f>
        <v>172.74999999999977</v>
      </c>
      <c r="G25" s="42"/>
      <c r="H25" s="51"/>
    </row>
    <row r="26" spans="1:8">
      <c r="A26" s="169" t="s">
        <v>221</v>
      </c>
      <c r="B26" s="198">
        <v>133.50800000000001</v>
      </c>
      <c r="C26" s="195" t="s">
        <v>214</v>
      </c>
      <c r="D26" s="199">
        <v>44562</v>
      </c>
      <c r="E26" s="200">
        <f>B36</f>
        <v>1890.2673</v>
      </c>
      <c r="F26" s="200">
        <f>E26-E25</f>
        <v>642.59730000000013</v>
      </c>
      <c r="G26" s="42"/>
      <c r="H26" s="51"/>
    </row>
    <row r="27" spans="1:8">
      <c r="A27" s="169" t="s">
        <v>222</v>
      </c>
      <c r="B27" s="198">
        <v>538.995</v>
      </c>
      <c r="C27" s="195" t="s">
        <v>214</v>
      </c>
      <c r="G27" s="42"/>
      <c r="H27" s="51"/>
    </row>
    <row r="28" spans="1:8">
      <c r="A28" s="169" t="s">
        <v>223</v>
      </c>
      <c r="B28" s="198">
        <v>133.50800000000001</v>
      </c>
      <c r="C28" s="195" t="s">
        <v>214</v>
      </c>
      <c r="G28" s="42"/>
      <c r="H28" s="51"/>
    </row>
    <row r="29" spans="1:8">
      <c r="A29" s="169" t="s">
        <v>224</v>
      </c>
      <c r="B29" s="197">
        <v>170.01200000000003</v>
      </c>
      <c r="C29" s="170" t="s">
        <v>214</v>
      </c>
      <c r="G29" s="42"/>
      <c r="H29" s="51"/>
    </row>
    <row r="30" spans="1:8">
      <c r="A30" s="169" t="s">
        <v>230</v>
      </c>
      <c r="B30" s="197">
        <v>91.417500000000004</v>
      </c>
      <c r="C30" s="170" t="s">
        <v>214</v>
      </c>
      <c r="G30" s="42"/>
      <c r="H30" s="51"/>
    </row>
    <row r="31" spans="1:8">
      <c r="A31" s="169" t="s">
        <v>243</v>
      </c>
      <c r="B31" s="181">
        <v>150.52000000000001</v>
      </c>
      <c r="C31" s="170" t="s">
        <v>214</v>
      </c>
      <c r="G31" s="42"/>
      <c r="H31" s="51"/>
    </row>
    <row r="32" spans="1:8">
      <c r="A32" s="169" t="s">
        <v>244</v>
      </c>
      <c r="B32" s="181">
        <v>73.378500000000003</v>
      </c>
      <c r="C32" s="170" t="s">
        <v>214</v>
      </c>
      <c r="G32" s="42"/>
      <c r="H32" s="51"/>
    </row>
    <row r="33" spans="1:8">
      <c r="A33" s="169" t="s">
        <v>245</v>
      </c>
      <c r="B33" s="181">
        <v>45.49</v>
      </c>
      <c r="C33" s="170" t="s">
        <v>214</v>
      </c>
      <c r="G33" s="42"/>
      <c r="H33" s="51"/>
    </row>
    <row r="34" spans="1:8">
      <c r="A34" s="169" t="s">
        <v>246</v>
      </c>
      <c r="B34" s="181">
        <f>'[2]Demolição 102'!$C$30</f>
        <v>292.00880000000001</v>
      </c>
      <c r="C34" s="170" t="s">
        <v>214</v>
      </c>
      <c r="G34" s="42"/>
      <c r="H34" s="51"/>
    </row>
    <row r="35" spans="1:8">
      <c r="A35" s="169" t="s">
        <v>247</v>
      </c>
      <c r="B35" s="170"/>
      <c r="C35" s="170" t="s">
        <v>214</v>
      </c>
      <c r="G35" s="42"/>
      <c r="H35" s="51"/>
    </row>
    <row r="36" spans="1:8">
      <c r="A36" s="195" t="s">
        <v>9</v>
      </c>
      <c r="B36" s="171">
        <f>SUM(B24:B35)</f>
        <v>1890.2673</v>
      </c>
      <c r="C36" s="170" t="s">
        <v>214</v>
      </c>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260"/>
      <c r="E39" s="260"/>
      <c r="F39" s="260"/>
      <c r="G39" s="62"/>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149</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1">
    <mergeCell ref="D39:F39"/>
    <mergeCell ref="A52:H52"/>
    <mergeCell ref="C9:E9"/>
    <mergeCell ref="A2:H2"/>
    <mergeCell ref="A3:H3"/>
    <mergeCell ref="A4:H4"/>
    <mergeCell ref="B6:H6"/>
    <mergeCell ref="B7:H7"/>
    <mergeCell ref="B8:F8"/>
    <mergeCell ref="A21:C21"/>
    <mergeCell ref="A22:C22"/>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4"/>
  <sheetViews>
    <sheetView zoomScale="79"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251</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32.25" customHeight="1">
      <c r="A7" s="68">
        <v>105</v>
      </c>
      <c r="B7" s="276" t="s">
        <v>60</v>
      </c>
      <c r="C7" s="276"/>
      <c r="D7" s="276"/>
      <c r="E7" s="276"/>
      <c r="F7" s="276"/>
      <c r="G7" s="276"/>
      <c r="H7" s="277"/>
    </row>
    <row r="8" spans="1:8" ht="15.75" customHeight="1">
      <c r="A8" s="69"/>
      <c r="B8" s="278"/>
      <c r="C8" s="279"/>
      <c r="D8" s="279"/>
      <c r="E8" s="279"/>
      <c r="F8" s="279"/>
      <c r="G8" s="70" t="s">
        <v>125</v>
      </c>
      <c r="H8" s="71" t="s">
        <v>277</v>
      </c>
    </row>
    <row r="9" spans="1:8">
      <c r="A9" s="45"/>
      <c r="B9" s="46"/>
      <c r="C9" s="264"/>
      <c r="D9" s="264"/>
      <c r="E9" s="264"/>
      <c r="F9" s="47"/>
      <c r="G9" s="61"/>
      <c r="H9" s="48"/>
    </row>
    <row r="10" spans="1:8" ht="15.75">
      <c r="A10" s="49" t="s">
        <v>113</v>
      </c>
      <c r="B10" s="46"/>
      <c r="C10" s="281" t="s">
        <v>154</v>
      </c>
      <c r="D10" s="281"/>
      <c r="E10" s="61"/>
      <c r="F10" s="47"/>
      <c r="G10" s="61"/>
      <c r="H10" s="48"/>
    </row>
    <row r="11" spans="1:8" ht="22.5">
      <c r="A11" s="45"/>
      <c r="B11" s="73" t="s">
        <v>114</v>
      </c>
      <c r="C11" s="73"/>
      <c r="D11" s="73" t="s">
        <v>130</v>
      </c>
      <c r="E11" s="156" t="s">
        <v>188</v>
      </c>
      <c r="F11" s="74" t="s">
        <v>185</v>
      </c>
      <c r="G11" s="74" t="s">
        <v>9</v>
      </c>
      <c r="H11" s="48"/>
    </row>
    <row r="12" spans="1:8">
      <c r="A12" s="72"/>
      <c r="B12" s="75" t="s">
        <v>129</v>
      </c>
      <c r="C12" s="76"/>
      <c r="D12" s="75">
        <v>1.4999999999999999E-2</v>
      </c>
      <c r="E12" s="77">
        <v>1.5</v>
      </c>
      <c r="F12" s="78">
        <f>'102'!G13</f>
        <v>642.59730000000013</v>
      </c>
      <c r="G12" s="78">
        <f>D12*F12*E12</f>
        <v>14.458439250000003</v>
      </c>
      <c r="H12" s="48"/>
    </row>
    <row r="13" spans="1:8" ht="15.75">
      <c r="A13" s="45"/>
      <c r="B13" s="87" t="s">
        <v>9</v>
      </c>
      <c r="C13" s="88"/>
      <c r="D13" s="88"/>
      <c r="E13" s="88"/>
      <c r="F13" s="88"/>
      <c r="G13" s="89">
        <f>G12</f>
        <v>14.458439250000003</v>
      </c>
      <c r="H13" s="48"/>
    </row>
    <row r="14" spans="1:8">
      <c r="A14" s="45"/>
      <c r="B14" s="42"/>
      <c r="C14" s="42"/>
      <c r="D14" s="42"/>
      <c r="E14" s="42"/>
      <c r="F14" s="42"/>
      <c r="G14" s="42"/>
      <c r="H14" s="48"/>
    </row>
    <row r="15" spans="1:8" ht="15.75">
      <c r="A15" s="50"/>
      <c r="B15" s="79" t="s">
        <v>117</v>
      </c>
      <c r="C15" s="80">
        <v>220</v>
      </c>
      <c r="D15" s="42" t="s">
        <v>238</v>
      </c>
      <c r="E15" s="42" t="s">
        <v>142</v>
      </c>
      <c r="F15" s="42"/>
      <c r="G15" s="42"/>
      <c r="H15" s="51"/>
    </row>
    <row r="16" spans="1:8" ht="15.75">
      <c r="A16" s="52"/>
      <c r="B16" s="79" t="s">
        <v>118</v>
      </c>
      <c r="C16" s="80">
        <f>D18+G13</f>
        <v>42.358439250000004</v>
      </c>
      <c r="D16" s="43">
        <v>23.15</v>
      </c>
      <c r="E16" s="42" t="s">
        <v>187</v>
      </c>
      <c r="F16" s="42"/>
      <c r="G16" s="42"/>
      <c r="H16" s="51"/>
    </row>
    <row r="17" spans="1:8" ht="15.75">
      <c r="A17" s="52"/>
      <c r="B17" s="79" t="s">
        <v>119</v>
      </c>
      <c r="C17" s="80">
        <f>C15-C16</f>
        <v>177.64156075</v>
      </c>
      <c r="D17" s="42" t="s">
        <v>242</v>
      </c>
      <c r="E17" s="42">
        <v>2.641896</v>
      </c>
      <c r="F17" s="42"/>
      <c r="G17" s="42"/>
      <c r="H17" s="51"/>
    </row>
    <row r="18" spans="1:8" ht="15.75">
      <c r="A18" s="63"/>
      <c r="B18" s="79" t="s">
        <v>120</v>
      </c>
      <c r="C18" s="80"/>
      <c r="D18" s="42">
        <v>27.9</v>
      </c>
      <c r="E18" s="42"/>
      <c r="F18" s="42"/>
      <c r="G18" s="42"/>
      <c r="H18" s="51"/>
    </row>
    <row r="19" spans="1:8" ht="15.75">
      <c r="A19" s="63"/>
      <c r="B19" s="79" t="s">
        <v>121</v>
      </c>
      <c r="C19" s="80">
        <f>ROUND(G12,2)</f>
        <v>14.46</v>
      </c>
      <c r="D19" s="42"/>
      <c r="E19" s="42"/>
      <c r="F19" s="42"/>
      <c r="G19" s="42"/>
      <c r="H19" s="51"/>
    </row>
    <row r="20" spans="1:8">
      <c r="A20" s="63"/>
      <c r="H20" s="51"/>
    </row>
    <row r="21" spans="1:8">
      <c r="A21" s="63"/>
      <c r="H21" s="51"/>
    </row>
    <row r="22" spans="1:8">
      <c r="A22" s="63"/>
      <c r="C22" t="s">
        <v>205</v>
      </c>
      <c r="H22" s="51"/>
    </row>
    <row r="23" spans="1:8">
      <c r="A23" s="63"/>
      <c r="C23">
        <v>1074.92</v>
      </c>
      <c r="H23" s="51"/>
    </row>
    <row r="24" spans="1:8">
      <c r="A24" s="63"/>
      <c r="C24" t="s">
        <v>206</v>
      </c>
      <c r="D24" t="s">
        <v>204</v>
      </c>
      <c r="H24" s="51"/>
    </row>
    <row r="25" spans="1:8" ht="15.75">
      <c r="A25" s="45"/>
      <c r="B25" s="53"/>
      <c r="C25" s="42">
        <v>15.43</v>
      </c>
      <c r="D25" s="42"/>
      <c r="E25" s="42"/>
      <c r="F25" s="42"/>
      <c r="G25" s="42"/>
      <c r="H25" s="51"/>
    </row>
    <row r="26" spans="1:8" ht="15.75">
      <c r="A26" s="45"/>
      <c r="B26" s="53"/>
      <c r="C26" s="42" t="s">
        <v>207</v>
      </c>
      <c r="D26" s="42"/>
      <c r="E26" s="43" t="s">
        <v>208</v>
      </c>
      <c r="F26" s="42"/>
      <c r="G26" s="42"/>
      <c r="H26" s="51"/>
    </row>
    <row r="27" spans="1:8" ht="15.75">
      <c r="A27" s="45"/>
      <c r="B27" s="53"/>
      <c r="C27" s="165">
        <f>C25*E12</f>
        <v>23.145</v>
      </c>
      <c r="D27" s="42"/>
      <c r="E27" s="165">
        <f>ROUND(C27-C25,2)</f>
        <v>7.72</v>
      </c>
      <c r="F27" s="42"/>
      <c r="G27" s="42"/>
      <c r="H27" s="51"/>
    </row>
    <row r="28" spans="1:8" ht="15.75">
      <c r="A28" s="45"/>
      <c r="B28" s="53"/>
      <c r="C28" s="42"/>
      <c r="D28" s="42"/>
      <c r="E28" s="42"/>
      <c r="F28" s="42"/>
      <c r="G28" s="42"/>
      <c r="H28" s="51"/>
    </row>
    <row r="29" spans="1:8" ht="15.75">
      <c r="A29" s="45"/>
      <c r="B29" s="53" t="s">
        <v>225</v>
      </c>
      <c r="C29" s="201">
        <v>685.78</v>
      </c>
      <c r="D29" s="42" t="s">
        <v>126</v>
      </c>
      <c r="E29" s="42" t="s">
        <v>227</v>
      </c>
      <c r="F29" s="42"/>
      <c r="G29" s="42"/>
      <c r="H29" s="51"/>
    </row>
    <row r="30" spans="1:8" ht="15.75">
      <c r="A30" s="45"/>
      <c r="B30" s="53" t="s">
        <v>226</v>
      </c>
      <c r="C30" s="201">
        <v>1036.6600000000001</v>
      </c>
      <c r="D30" s="42" t="s">
        <v>126</v>
      </c>
      <c r="E30" s="42">
        <f>(C30-C29)*0.015*1.5</f>
        <v>7.8948000000000018</v>
      </c>
      <c r="G30" s="42"/>
      <c r="H30" s="51"/>
    </row>
    <row r="31" spans="1:8" ht="15.75">
      <c r="A31" s="45"/>
      <c r="B31" s="53" t="s">
        <v>228</v>
      </c>
      <c r="C31" s="201">
        <v>1247.67</v>
      </c>
      <c r="D31" s="42"/>
      <c r="E31" s="42"/>
      <c r="F31" s="42"/>
      <c r="G31" s="42"/>
      <c r="H31" s="51"/>
    </row>
    <row r="32" spans="1:8" ht="15.75">
      <c r="A32" s="45"/>
      <c r="B32" s="55" t="s">
        <v>249</v>
      </c>
      <c r="C32" s="201">
        <f>'102'!B36</f>
        <v>1890.2673</v>
      </c>
      <c r="D32" s="42"/>
      <c r="E32" s="42"/>
      <c r="F32" s="42"/>
      <c r="G32" s="42"/>
      <c r="H32" s="51"/>
    </row>
    <row r="33" spans="1:8" ht="15.75">
      <c r="A33" s="45"/>
      <c r="B33" s="196" t="s">
        <v>248</v>
      </c>
      <c r="C33" s="201">
        <f>C32-C31</f>
        <v>642.5972999999999</v>
      </c>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131</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4"/>
  <sheetViews>
    <sheetView topLeftCell="A4" workbookViewId="0">
      <selection activeCell="Q53" sqref="Q53"/>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32.25" customHeight="1">
      <c r="A7" s="68">
        <v>106</v>
      </c>
      <c r="B7" s="276" t="s">
        <v>136</v>
      </c>
      <c r="C7" s="276"/>
      <c r="D7" s="276"/>
      <c r="E7" s="276"/>
      <c r="F7" s="276"/>
      <c r="G7" s="276"/>
      <c r="H7" s="277"/>
    </row>
    <row r="8" spans="1:8" ht="15.75" customHeight="1">
      <c r="A8" s="69"/>
      <c r="B8" s="278"/>
      <c r="C8" s="279"/>
      <c r="D8" s="279"/>
      <c r="E8" s="279"/>
      <c r="F8" s="279"/>
      <c r="G8" s="70" t="s">
        <v>125</v>
      </c>
      <c r="H8" s="71" t="s">
        <v>214</v>
      </c>
    </row>
    <row r="9" spans="1:8">
      <c r="A9" s="45"/>
      <c r="B9" s="46"/>
      <c r="C9" s="264"/>
      <c r="D9" s="264"/>
      <c r="E9" s="264"/>
      <c r="F9" s="47"/>
      <c r="G9" s="61"/>
      <c r="H9" s="48"/>
    </row>
    <row r="10" spans="1:8" ht="15.75">
      <c r="A10" s="49" t="s">
        <v>113</v>
      </c>
      <c r="B10" s="46"/>
      <c r="C10" s="281" t="s">
        <v>155</v>
      </c>
      <c r="D10" s="281"/>
      <c r="E10" s="61"/>
      <c r="F10" s="47"/>
      <c r="G10" s="61"/>
      <c r="H10" s="48"/>
    </row>
    <row r="11" spans="1:8" ht="31.5">
      <c r="A11" s="45"/>
      <c r="B11" s="73" t="s">
        <v>114</v>
      </c>
      <c r="C11" s="73"/>
      <c r="D11" s="73" t="s">
        <v>130</v>
      </c>
      <c r="E11" s="74" t="s">
        <v>115</v>
      </c>
      <c r="F11" s="74" t="s">
        <v>170</v>
      </c>
      <c r="G11" s="74" t="s">
        <v>9</v>
      </c>
      <c r="H11" s="48"/>
    </row>
    <row r="12" spans="1:8">
      <c r="A12" s="72"/>
      <c r="B12" s="75" t="s">
        <v>132</v>
      </c>
      <c r="C12" s="76"/>
      <c r="D12" s="75"/>
      <c r="E12" s="77"/>
      <c r="F12" s="78"/>
      <c r="G12" s="78">
        <f>115.58-E16</f>
        <v>15.549999999999997</v>
      </c>
      <c r="H12" s="48"/>
    </row>
    <row r="13" spans="1:8" ht="15.75">
      <c r="A13" s="45"/>
      <c r="B13" s="87" t="s">
        <v>9</v>
      </c>
      <c r="C13" s="88"/>
      <c r="D13" s="88"/>
      <c r="E13" s="88"/>
      <c r="F13" s="88"/>
      <c r="G13" s="89">
        <f>G12</f>
        <v>15.549999999999997</v>
      </c>
      <c r="H13" s="48"/>
    </row>
    <row r="14" spans="1:8">
      <c r="A14" s="45"/>
      <c r="B14" s="42"/>
      <c r="C14" s="42"/>
      <c r="D14" s="42"/>
      <c r="E14" s="42"/>
      <c r="F14" s="42"/>
      <c r="G14" s="42"/>
      <c r="H14" s="48"/>
    </row>
    <row r="15" spans="1:8" ht="15.75">
      <c r="A15" s="50"/>
      <c r="B15" s="79" t="s">
        <v>117</v>
      </c>
      <c r="C15" s="80">
        <v>287.10000000000002</v>
      </c>
      <c r="D15" s="202" t="s">
        <v>238</v>
      </c>
      <c r="E15" s="202" t="s">
        <v>250</v>
      </c>
      <c r="F15" s="202" t="s">
        <v>295</v>
      </c>
      <c r="G15" s="42"/>
      <c r="H15" s="51"/>
    </row>
    <row r="16" spans="1:8" ht="15.75">
      <c r="A16" s="52"/>
      <c r="B16" s="79" t="s">
        <v>118</v>
      </c>
      <c r="C16" s="80">
        <v>115.58</v>
      </c>
      <c r="D16" s="202">
        <v>92.63</v>
      </c>
      <c r="E16" s="202">
        <v>100.03</v>
      </c>
      <c r="F16" s="202">
        <v>115.58</v>
      </c>
      <c r="G16" s="42"/>
      <c r="H16" s="51"/>
    </row>
    <row r="17" spans="1:8" ht="15.75">
      <c r="A17" s="52"/>
      <c r="B17" s="79" t="s">
        <v>119</v>
      </c>
      <c r="C17" s="80">
        <f>C15-C16</f>
        <v>171.52000000000004</v>
      </c>
      <c r="D17" s="42"/>
      <c r="E17" s="42"/>
      <c r="F17" s="42"/>
      <c r="G17" s="42"/>
      <c r="H17" s="51"/>
    </row>
    <row r="18" spans="1:8" ht="15.75">
      <c r="A18" s="63"/>
      <c r="B18" s="79" t="s">
        <v>120</v>
      </c>
      <c r="C18" s="80"/>
      <c r="D18" s="42"/>
      <c r="E18" s="42"/>
      <c r="F18" s="42"/>
      <c r="G18" s="42"/>
      <c r="H18" s="51"/>
    </row>
    <row r="19" spans="1:8" ht="15.75">
      <c r="A19" s="63"/>
      <c r="B19" s="79" t="s">
        <v>121</v>
      </c>
      <c r="C19" s="80">
        <f>G13</f>
        <v>15.549999999999997</v>
      </c>
      <c r="D19" s="42"/>
      <c r="E19" s="42"/>
      <c r="F19" s="42"/>
      <c r="G19" s="42"/>
      <c r="H19" s="51"/>
    </row>
    <row r="20" spans="1:8">
      <c r="A20" s="63"/>
      <c r="H20" s="51"/>
    </row>
    <row r="21" spans="1:8" ht="16.5">
      <c r="A21" s="63"/>
      <c r="B21" s="282"/>
      <c r="C21" s="282"/>
      <c r="D21" s="282"/>
      <c r="E21" s="282"/>
      <c r="H21" s="51"/>
    </row>
    <row r="22" spans="1:8" ht="16.5">
      <c r="A22" s="63"/>
      <c r="B22" s="282"/>
      <c r="C22" s="282"/>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135</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54"/>
  <sheetViews>
    <sheetView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32.25" customHeight="1">
      <c r="A7" s="68">
        <v>107</v>
      </c>
      <c r="B7" s="274" t="s">
        <v>133</v>
      </c>
      <c r="C7" s="274"/>
      <c r="D7" s="274"/>
      <c r="E7" s="274"/>
      <c r="F7" s="274"/>
      <c r="G7" s="274"/>
      <c r="H7" s="275"/>
    </row>
    <row r="8" spans="1:8" ht="15.75" customHeight="1">
      <c r="A8" s="69"/>
      <c r="B8" s="278"/>
      <c r="C8" s="279"/>
      <c r="D8" s="279"/>
      <c r="E8" s="279"/>
      <c r="F8" s="279"/>
      <c r="G8" s="70" t="s">
        <v>125</v>
      </c>
      <c r="H8" s="71" t="s">
        <v>126</v>
      </c>
    </row>
    <row r="9" spans="1:8">
      <c r="A9" s="129"/>
      <c r="B9" s="36"/>
      <c r="C9" s="288"/>
      <c r="D9" s="288"/>
      <c r="E9" s="288"/>
      <c r="F9" s="39"/>
      <c r="G9" s="37"/>
      <c r="H9" s="130"/>
    </row>
    <row r="10" spans="1:8" ht="15.75">
      <c r="A10" s="49" t="s">
        <v>113</v>
      </c>
      <c r="B10" s="46"/>
      <c r="C10" s="281" t="s">
        <v>155</v>
      </c>
      <c r="D10" s="281"/>
      <c r="E10" s="123"/>
      <c r="F10" s="47"/>
      <c r="G10" s="123"/>
      <c r="H10" s="48"/>
    </row>
    <row r="11" spans="1:8" ht="15.75">
      <c r="A11" s="45"/>
      <c r="B11" s="131" t="s">
        <v>114</v>
      </c>
      <c r="C11" s="131"/>
      <c r="D11" s="131" t="s">
        <v>130</v>
      </c>
      <c r="E11" s="132" t="s">
        <v>115</v>
      </c>
      <c r="F11" s="132" t="s">
        <v>116</v>
      </c>
      <c r="G11" s="132" t="s">
        <v>9</v>
      </c>
      <c r="H11" s="48"/>
    </row>
    <row r="12" spans="1:8">
      <c r="A12" s="72"/>
      <c r="B12" s="133" t="s">
        <v>134</v>
      </c>
      <c r="C12" s="134"/>
      <c r="D12" s="133"/>
      <c r="E12" s="135">
        <f>7.14+2.47</f>
        <v>9.61</v>
      </c>
      <c r="F12" s="136">
        <v>50</v>
      </c>
      <c r="G12" s="136">
        <f>F12*E12</f>
        <v>480.5</v>
      </c>
      <c r="H12" s="48"/>
    </row>
    <row r="13" spans="1:8" ht="15.75">
      <c r="A13" s="45"/>
      <c r="B13" s="137" t="s">
        <v>9</v>
      </c>
      <c r="C13" s="138"/>
      <c r="D13" s="138"/>
      <c r="E13" s="138"/>
      <c r="F13" s="286">
        <f>G12</f>
        <v>480.5</v>
      </c>
      <c r="G13" s="287"/>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f>3752.687+F13</f>
        <v>4233.1869999999999</v>
      </c>
      <c r="D16" s="42"/>
      <c r="E16" s="42"/>
      <c r="F16" s="42"/>
      <c r="G16" s="42"/>
      <c r="H16" s="51"/>
    </row>
    <row r="17" spans="1:8" ht="15.75">
      <c r="A17" s="52"/>
      <c r="B17" s="139" t="s">
        <v>119</v>
      </c>
      <c r="C17" s="140">
        <f>C15-C16</f>
        <v>2766.8130000000001</v>
      </c>
      <c r="D17" s="42"/>
      <c r="E17" s="42"/>
      <c r="F17" s="42"/>
      <c r="G17" s="42"/>
      <c r="H17" s="51"/>
    </row>
    <row r="18" spans="1:8" ht="15.75">
      <c r="A18" s="125"/>
      <c r="B18" s="139" t="s">
        <v>120</v>
      </c>
      <c r="C18" s="140"/>
      <c r="D18" s="42"/>
      <c r="E18" s="42"/>
      <c r="F18" s="42"/>
      <c r="G18" s="42"/>
      <c r="H18" s="51"/>
    </row>
    <row r="19" spans="1:8" ht="15.75">
      <c r="A19" s="125"/>
      <c r="B19" s="139" t="s">
        <v>121</v>
      </c>
      <c r="C19" s="140">
        <f>F13</f>
        <v>480.5</v>
      </c>
      <c r="D19" s="42"/>
      <c r="E19" s="42"/>
      <c r="F19" s="42"/>
      <c r="G19" s="42"/>
      <c r="H19" s="51"/>
    </row>
    <row r="20" spans="1:8">
      <c r="A20" s="125"/>
      <c r="B20" s="141"/>
      <c r="C20" s="141"/>
      <c r="D20" s="141"/>
      <c r="E20" s="141"/>
      <c r="F20" s="141"/>
      <c r="G20" s="141"/>
      <c r="H20" s="51"/>
    </row>
    <row r="21" spans="1:8">
      <c r="A21" s="125"/>
      <c r="B21" s="141"/>
      <c r="C21" s="141"/>
      <c r="D21" s="141"/>
      <c r="E21" s="141"/>
      <c r="F21" s="141"/>
      <c r="G21" s="141"/>
      <c r="H21" s="51"/>
    </row>
    <row r="22" spans="1:8">
      <c r="A22" s="125"/>
      <c r="B22" s="141"/>
      <c r="C22" s="141"/>
      <c r="D22" s="141"/>
      <c r="E22" s="141"/>
      <c r="F22" s="141"/>
      <c r="G22" s="141"/>
      <c r="H22" s="51"/>
    </row>
    <row r="23" spans="1:8">
      <c r="A23" s="125"/>
      <c r="B23" s="141"/>
      <c r="C23" s="141"/>
      <c r="D23" s="141"/>
      <c r="E23" s="141"/>
      <c r="F23" s="141"/>
      <c r="G23" s="141"/>
      <c r="H23" s="51"/>
    </row>
    <row r="24" spans="1:8">
      <c r="A24" s="125"/>
      <c r="B24" s="141"/>
      <c r="C24" s="141"/>
      <c r="D24" s="141"/>
      <c r="E24" s="141"/>
      <c r="F24" s="141"/>
      <c r="G24" s="14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F30" s="141"/>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60"/>
      <c r="E36" s="260"/>
      <c r="F36" s="260"/>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210</v>
      </c>
      <c r="C44" s="35"/>
      <c r="D44" s="141"/>
      <c r="E44" s="141"/>
      <c r="F44" s="141"/>
      <c r="G44" s="141"/>
      <c r="H44" s="54"/>
    </row>
    <row r="45" spans="1:8" ht="15.75">
      <c r="A45" s="72"/>
      <c r="B45" s="42" t="s">
        <v>209</v>
      </c>
      <c r="C45" s="124"/>
      <c r="D45" s="124"/>
      <c r="E45" s="42"/>
      <c r="F45" s="42"/>
      <c r="H45" s="54"/>
    </row>
    <row r="46" spans="1:8" ht="15.75">
      <c r="A46" s="45"/>
      <c r="B46" s="124" t="s">
        <v>211</v>
      </c>
      <c r="C46" s="124">
        <f>50.76*73.93</f>
        <v>3752.6868000000004</v>
      </c>
      <c r="D46" s="124" t="s">
        <v>126</v>
      </c>
      <c r="E46" s="42"/>
      <c r="F46" s="42"/>
      <c r="G46" s="35"/>
      <c r="H46" s="54"/>
    </row>
    <row r="47" spans="1:8" ht="15.75">
      <c r="A47" s="293" t="s">
        <v>290</v>
      </c>
      <c r="B47" s="294"/>
      <c r="C47" s="228" t="s">
        <v>288</v>
      </c>
      <c r="D47" s="124">
        <f>(7.14+2.47)*50</f>
        <v>480.5</v>
      </c>
      <c r="E47" s="289" t="s">
        <v>289</v>
      </c>
      <c r="F47" s="289"/>
      <c r="G47" s="289"/>
      <c r="H47" s="290"/>
    </row>
    <row r="48" spans="1:8" ht="15.75">
      <c r="A48" s="45"/>
      <c r="B48" s="124"/>
      <c r="C48" s="124"/>
      <c r="D48" s="124"/>
      <c r="E48" s="289"/>
      <c r="F48" s="289"/>
      <c r="G48" s="289"/>
      <c r="H48" s="290"/>
    </row>
    <row r="49" spans="1:8" ht="15.75">
      <c r="A49" s="45"/>
      <c r="B49" s="124"/>
      <c r="C49" s="124"/>
      <c r="D49" s="124"/>
      <c r="E49" s="289"/>
      <c r="F49" s="289"/>
      <c r="G49" s="289"/>
      <c r="H49" s="290"/>
    </row>
    <row r="50" spans="1:8" ht="15.75" customHeight="1">
      <c r="A50" s="45"/>
      <c r="B50" s="46"/>
      <c r="C50" s="123"/>
      <c r="D50" s="123"/>
      <c r="E50" s="291"/>
      <c r="F50" s="291"/>
      <c r="G50" s="291"/>
      <c r="H50" s="292"/>
    </row>
    <row r="51" spans="1:8" ht="15.75">
      <c r="A51" s="142" t="s">
        <v>122</v>
      </c>
      <c r="B51" s="36"/>
      <c r="C51" s="37"/>
      <c r="D51" s="38"/>
      <c r="E51" s="39"/>
      <c r="F51" s="37"/>
      <c r="G51" s="37"/>
      <c r="H51" s="130"/>
    </row>
    <row r="52" spans="1:8" ht="15" customHeight="1">
      <c r="A52" s="261" t="s">
        <v>135</v>
      </c>
      <c r="B52" s="262"/>
      <c r="C52" s="262"/>
      <c r="D52" s="262"/>
      <c r="E52" s="262"/>
      <c r="F52" s="262"/>
      <c r="G52" s="262"/>
      <c r="H52" s="263"/>
    </row>
    <row r="53" spans="1:8" ht="16.5">
      <c r="A53" s="283"/>
      <c r="B53" s="284"/>
      <c r="C53" s="284"/>
      <c r="D53" s="284"/>
      <c r="E53" s="284"/>
      <c r="F53" s="284"/>
      <c r="G53" s="284"/>
      <c r="H53" s="285"/>
    </row>
    <row r="54" spans="1:8">
      <c r="A54" s="34"/>
      <c r="B54" s="46"/>
      <c r="C54" s="123"/>
      <c r="D54" s="128"/>
      <c r="E54" s="47"/>
      <c r="F54" s="123"/>
      <c r="G54" s="123"/>
      <c r="H54" s="123"/>
    </row>
  </sheetData>
  <mergeCells count="14">
    <mergeCell ref="A53:H53"/>
    <mergeCell ref="F13:G13"/>
    <mergeCell ref="C9:E9"/>
    <mergeCell ref="C10:D10"/>
    <mergeCell ref="D36:F36"/>
    <mergeCell ref="A52:H52"/>
    <mergeCell ref="E47:H50"/>
    <mergeCell ref="A47:B4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4"/>
  <sheetViews>
    <sheetView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33" customHeight="1">
      <c r="A7" s="68">
        <v>108</v>
      </c>
      <c r="B7" s="295" t="s">
        <v>63</v>
      </c>
      <c r="C7" s="295"/>
      <c r="D7" s="295"/>
      <c r="E7" s="295"/>
      <c r="F7" s="295"/>
      <c r="G7" s="295"/>
      <c r="H7" s="296"/>
    </row>
    <row r="8" spans="1:8" ht="15.75" customHeight="1">
      <c r="A8" s="69"/>
      <c r="B8" s="278"/>
      <c r="C8" s="279"/>
      <c r="D8" s="279"/>
      <c r="E8" s="279"/>
      <c r="F8" s="279"/>
      <c r="G8" s="70" t="s">
        <v>125</v>
      </c>
      <c r="H8" s="90" t="s">
        <v>137</v>
      </c>
    </row>
    <row r="9" spans="1:8">
      <c r="A9" s="45"/>
      <c r="B9" s="46"/>
      <c r="C9" s="264"/>
      <c r="D9" s="264"/>
      <c r="E9" s="264"/>
      <c r="F9" s="47"/>
      <c r="G9" s="61"/>
      <c r="H9" s="48"/>
    </row>
    <row r="10" spans="1:8" ht="15.75">
      <c r="A10" s="49" t="s">
        <v>113</v>
      </c>
      <c r="B10" s="46"/>
      <c r="C10" s="281" t="s">
        <v>156</v>
      </c>
      <c r="D10" s="281"/>
      <c r="E10" s="281"/>
      <c r="F10" s="47"/>
      <c r="G10" s="61"/>
      <c r="H10" s="48"/>
    </row>
    <row r="11" spans="1:8" ht="15.75">
      <c r="A11" s="45"/>
      <c r="B11" s="73" t="s">
        <v>114</v>
      </c>
      <c r="C11" s="73" t="s">
        <v>285</v>
      </c>
      <c r="D11" s="73" t="s">
        <v>130</v>
      </c>
      <c r="E11" s="74" t="s">
        <v>115</v>
      </c>
      <c r="F11" s="74" t="s">
        <v>116</v>
      </c>
      <c r="G11" s="74" t="s">
        <v>9</v>
      </c>
      <c r="H11" s="48"/>
    </row>
    <row r="12" spans="1:8">
      <c r="A12" s="72"/>
      <c r="B12" s="75" t="s">
        <v>151</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f>
        <v>844.2</v>
      </c>
      <c r="D16" s="42"/>
      <c r="E16" s="42"/>
      <c r="F16" s="42"/>
      <c r="G16" s="42"/>
      <c r="H16" s="51"/>
    </row>
    <row r="17" spans="1:8" ht="15.75">
      <c r="A17" s="52"/>
      <c r="B17" s="79" t="s">
        <v>119</v>
      </c>
      <c r="C17" s="80">
        <f>C15-C16</f>
        <v>355.79999999999995</v>
      </c>
      <c r="D17" s="42"/>
      <c r="E17" s="42"/>
      <c r="F17" s="127"/>
      <c r="G17" s="42"/>
      <c r="H17" s="51"/>
    </row>
    <row r="18" spans="1:8" ht="15.75">
      <c r="A18" s="63"/>
      <c r="B18" s="79" t="s">
        <v>120</v>
      </c>
      <c r="C18" s="80"/>
      <c r="D18" s="42"/>
      <c r="E18" s="127"/>
      <c r="F18" s="42"/>
      <c r="G18" s="42"/>
      <c r="H18" s="51"/>
    </row>
    <row r="19" spans="1:8" ht="15.75">
      <c r="A19" s="63"/>
      <c r="B19" s="79" t="s">
        <v>121</v>
      </c>
      <c r="C19" s="80">
        <f>G12</f>
        <v>168.84</v>
      </c>
      <c r="D19" s="42"/>
      <c r="E19" s="42"/>
      <c r="F19" s="42"/>
      <c r="G19" s="42"/>
      <c r="H19" s="51"/>
    </row>
    <row r="20" spans="1:8">
      <c r="A20" s="63"/>
      <c r="H20" s="51"/>
    </row>
    <row r="21" spans="1:8" ht="15.75">
      <c r="A21" s="63"/>
      <c r="B21" s="143" t="s">
        <v>171</v>
      </c>
      <c r="H21" s="51"/>
    </row>
    <row r="22" spans="1:8">
      <c r="A22" s="125"/>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135</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4"/>
  <sheetViews>
    <sheetView topLeftCell="A19"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296</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49.5" customHeight="1">
      <c r="A7" s="68">
        <v>109</v>
      </c>
      <c r="B7" s="279" t="s">
        <v>64</v>
      </c>
      <c r="C7" s="279"/>
      <c r="D7" s="279"/>
      <c r="E7" s="279"/>
      <c r="F7" s="279"/>
      <c r="G7" s="279"/>
      <c r="H7" s="297"/>
    </row>
    <row r="8" spans="1:8" ht="15.75" customHeight="1">
      <c r="A8" s="69"/>
      <c r="B8" s="278"/>
      <c r="C8" s="279"/>
      <c r="D8" s="279"/>
      <c r="E8" s="279"/>
      <c r="F8" s="279"/>
      <c r="G8" s="70" t="s">
        <v>125</v>
      </c>
      <c r="H8" s="90" t="s">
        <v>214</v>
      </c>
    </row>
    <row r="9" spans="1:8">
      <c r="A9" s="45"/>
      <c r="B9" s="46"/>
      <c r="C9" s="264"/>
      <c r="D9" s="264"/>
      <c r="E9" s="264"/>
      <c r="F9" s="47"/>
      <c r="G9" s="61"/>
      <c r="H9" s="48"/>
    </row>
    <row r="10" spans="1:8" ht="15.75">
      <c r="A10" s="49" t="s">
        <v>113</v>
      </c>
      <c r="B10" s="46"/>
      <c r="C10" s="281" t="s">
        <v>157</v>
      </c>
      <c r="D10" s="281"/>
      <c r="E10" s="61"/>
      <c r="F10" s="47"/>
      <c r="G10" s="61"/>
      <c r="H10" s="48"/>
    </row>
    <row r="11" spans="1:8" ht="15.75">
      <c r="A11" s="45"/>
      <c r="B11" s="73" t="s">
        <v>114</v>
      </c>
      <c r="C11" s="73" t="s">
        <v>285</v>
      </c>
      <c r="D11" s="73" t="s">
        <v>130</v>
      </c>
      <c r="E11" s="74" t="s">
        <v>115</v>
      </c>
      <c r="F11" s="74" t="s">
        <v>116</v>
      </c>
      <c r="G11" s="74" t="s">
        <v>9</v>
      </c>
      <c r="H11" s="48"/>
    </row>
    <row r="12" spans="1:8">
      <c r="A12" s="72"/>
      <c r="B12" s="75" t="s">
        <v>150</v>
      </c>
      <c r="C12" s="76">
        <v>1</v>
      </c>
      <c r="D12" s="75"/>
      <c r="E12" s="77"/>
      <c r="F12" s="78">
        <v>6</v>
      </c>
      <c r="G12" s="78">
        <f>168.84*C12</f>
        <v>168.84</v>
      </c>
      <c r="H12" s="48"/>
    </row>
    <row r="13" spans="1:8" ht="15.75">
      <c r="A13" s="45"/>
      <c r="B13" s="87" t="s">
        <v>9</v>
      </c>
      <c r="C13" s="88"/>
      <c r="D13" s="88"/>
      <c r="E13" s="88"/>
      <c r="F13" s="88"/>
      <c r="G13" s="89">
        <f>SUM(G12:G12)</f>
        <v>168.84</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f>
        <v>844.2</v>
      </c>
      <c r="D16" s="42"/>
      <c r="E16" s="42"/>
      <c r="F16" s="42"/>
      <c r="G16" s="42"/>
      <c r="H16" s="51"/>
    </row>
    <row r="17" spans="1:8" ht="15.75">
      <c r="A17" s="52"/>
      <c r="B17" s="79" t="s">
        <v>119</v>
      </c>
      <c r="C17" s="80">
        <f>C15-C16</f>
        <v>355.79999999999995</v>
      </c>
      <c r="D17" s="42"/>
      <c r="E17" s="42"/>
      <c r="F17" s="42"/>
      <c r="G17" s="42"/>
      <c r="H17" s="51"/>
    </row>
    <row r="18" spans="1:8" ht="15.75">
      <c r="A18" s="63"/>
      <c r="B18" s="79" t="s">
        <v>120</v>
      </c>
      <c r="C18" s="80"/>
      <c r="D18" s="42"/>
      <c r="E18" s="42"/>
      <c r="F18" s="42"/>
      <c r="G18" s="42"/>
      <c r="H18" s="51"/>
    </row>
    <row r="19" spans="1:8" ht="15.75">
      <c r="A19" s="63"/>
      <c r="B19" s="79" t="s">
        <v>121</v>
      </c>
      <c r="C19" s="80">
        <f>G12</f>
        <v>168.84</v>
      </c>
      <c r="D19" s="42"/>
      <c r="E19" s="42"/>
      <c r="F19" s="42"/>
      <c r="G19" s="42"/>
      <c r="H19" s="51"/>
    </row>
    <row r="20" spans="1:8" ht="15.75">
      <c r="A20" s="63"/>
      <c r="B20" s="53" t="s">
        <v>171</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60"/>
      <c r="E36" s="260"/>
      <c r="F36" s="260"/>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261" t="s">
        <v>135</v>
      </c>
      <c r="B52" s="262"/>
      <c r="C52" s="262"/>
      <c r="D52" s="262"/>
      <c r="E52" s="262"/>
      <c r="F52" s="262"/>
      <c r="G52" s="262"/>
      <c r="H52" s="263"/>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4"/>
  <sheetViews>
    <sheetView tabSelected="1" topLeftCell="A37" workbookViewId="0">
      <selection activeCell="D47" sqref="D4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296</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49.5" customHeight="1">
      <c r="A7" s="68">
        <v>110</v>
      </c>
      <c r="B7" s="298" t="s">
        <v>65</v>
      </c>
      <c r="C7" s="298"/>
      <c r="D7" s="298"/>
      <c r="E7" s="298"/>
      <c r="F7" s="298"/>
      <c r="G7" s="298"/>
      <c r="H7" s="299"/>
    </row>
    <row r="8" spans="1:8" ht="15.75" customHeight="1">
      <c r="A8" s="69"/>
      <c r="B8" s="278"/>
      <c r="C8" s="279"/>
      <c r="D8" s="279"/>
      <c r="E8" s="279"/>
      <c r="F8" s="279"/>
      <c r="G8" s="70" t="s">
        <v>125</v>
      </c>
      <c r="H8" s="90" t="s">
        <v>8</v>
      </c>
    </row>
    <row r="9" spans="1:8">
      <c r="A9" s="45"/>
      <c r="B9" s="46"/>
      <c r="C9" s="264"/>
      <c r="D9" s="264"/>
      <c r="E9" s="264"/>
      <c r="F9" s="47"/>
      <c r="G9" s="186"/>
      <c r="H9" s="48"/>
    </row>
    <row r="10" spans="1:8" ht="15.75">
      <c r="A10" s="49" t="s">
        <v>113</v>
      </c>
      <c r="B10" s="46"/>
      <c r="C10" s="281" t="s">
        <v>258</v>
      </c>
      <c r="D10" s="281"/>
      <c r="E10" s="186"/>
      <c r="F10" s="47"/>
      <c r="G10" s="186"/>
      <c r="H10" s="48"/>
    </row>
    <row r="11" spans="1:8" ht="15.75">
      <c r="A11" s="45"/>
      <c r="B11" s="73" t="s">
        <v>114</v>
      </c>
      <c r="C11" s="73"/>
      <c r="D11" s="73" t="s">
        <v>130</v>
      </c>
      <c r="E11" s="74" t="s">
        <v>115</v>
      </c>
      <c r="F11" s="74" t="s">
        <v>116</v>
      </c>
      <c r="G11" s="74" t="s">
        <v>9</v>
      </c>
      <c r="H11" s="48"/>
    </row>
    <row r="12" spans="1:8">
      <c r="A12" s="72"/>
      <c r="B12" s="189" t="s">
        <v>239</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8" ht="15.75">
      <c r="A17" s="52"/>
      <c r="B17" s="79" t="s">
        <v>119</v>
      </c>
      <c r="C17" s="80">
        <f>C15-C16</f>
        <v>0</v>
      </c>
      <c r="D17" s="42"/>
      <c r="E17" s="42"/>
      <c r="F17" s="42"/>
      <c r="G17" s="42"/>
      <c r="H17" s="51"/>
    </row>
    <row r="18" spans="1:8" ht="15.75">
      <c r="A18" s="185"/>
      <c r="B18" s="79" t="s">
        <v>120</v>
      </c>
      <c r="C18" s="80"/>
      <c r="D18" s="42"/>
      <c r="E18" s="42"/>
      <c r="F18" s="42"/>
      <c r="G18" s="42"/>
      <c r="H18" s="51"/>
    </row>
    <row r="19" spans="1:8" ht="15.75">
      <c r="A19" s="185"/>
      <c r="B19" s="79" t="s">
        <v>121</v>
      </c>
      <c r="C19" s="80">
        <f>G12</f>
        <v>0</v>
      </c>
      <c r="D19" s="42"/>
      <c r="E19" s="42"/>
      <c r="F19" s="42"/>
      <c r="G19" s="42"/>
      <c r="H19" s="51"/>
    </row>
    <row r="20" spans="1:8" ht="15.75">
      <c r="A20" s="185"/>
      <c r="B20" s="53"/>
      <c r="H20" s="51"/>
    </row>
    <row r="21" spans="1:8">
      <c r="A21" s="185"/>
      <c r="H21" s="51"/>
    </row>
    <row r="22" spans="1:8">
      <c r="A22" s="185"/>
      <c r="H22" s="51"/>
    </row>
    <row r="23" spans="1:8">
      <c r="A23" s="185"/>
      <c r="H23" s="51"/>
    </row>
    <row r="24" spans="1:8">
      <c r="A24" s="185"/>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260"/>
      <c r="E36" s="260"/>
      <c r="F36" s="260"/>
      <c r="G36" s="124"/>
      <c r="H36" s="51"/>
    </row>
    <row r="37" spans="1:8" ht="15.75">
      <c r="A37" s="45"/>
      <c r="B37" s="300"/>
      <c r="C37" s="300"/>
      <c r="D37" s="300"/>
      <c r="E37" s="300"/>
      <c r="F37" s="300"/>
      <c r="G37" s="300"/>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t="s">
        <v>253</v>
      </c>
      <c r="D43" s="124"/>
      <c r="E43" s="42"/>
      <c r="F43" s="42"/>
      <c r="G43" s="35"/>
      <c r="H43" s="54"/>
    </row>
    <row r="44" spans="1:8" ht="31.5">
      <c r="A44" s="45"/>
      <c r="B44" s="124" t="s">
        <v>254</v>
      </c>
      <c r="C44" s="124"/>
      <c r="D44" s="124"/>
      <c r="E44" s="42"/>
      <c r="F44" s="42"/>
      <c r="G44" s="35"/>
      <c r="H44" s="54"/>
    </row>
    <row r="45" spans="1:8" ht="15.75">
      <c r="A45" s="45"/>
      <c r="B45" s="301" t="s">
        <v>256</v>
      </c>
      <c r="C45" s="301"/>
      <c r="D45" s="301"/>
      <c r="E45" s="301"/>
      <c r="F45" s="201">
        <v>3</v>
      </c>
      <c r="G45" s="35"/>
      <c r="H45" s="54"/>
    </row>
    <row r="46" spans="1:8" ht="15.75">
      <c r="A46" s="45"/>
      <c r="B46" s="301" t="s">
        <v>255</v>
      </c>
      <c r="C46" s="301"/>
      <c r="D46" s="301"/>
      <c r="E46" s="301"/>
      <c r="F46" s="201">
        <v>0</v>
      </c>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86"/>
      <c r="D50" s="186"/>
      <c r="E50" s="186"/>
      <c r="F50" s="47"/>
      <c r="G50" s="55"/>
      <c r="H50" s="48"/>
    </row>
    <row r="51" spans="1:8" ht="15.75">
      <c r="A51" s="81" t="s">
        <v>122</v>
      </c>
      <c r="B51" s="82"/>
      <c r="C51" s="83"/>
      <c r="D51" s="84"/>
      <c r="E51" s="85"/>
      <c r="F51" s="83"/>
      <c r="G51" s="83"/>
      <c r="H51" s="86"/>
    </row>
    <row r="52" spans="1:8" ht="15" customHeight="1">
      <c r="A52" s="261" t="s">
        <v>257</v>
      </c>
      <c r="B52" s="262"/>
      <c r="C52" s="262"/>
      <c r="D52" s="262"/>
      <c r="E52" s="262"/>
      <c r="F52" s="262"/>
      <c r="G52" s="262"/>
      <c r="H52" s="263"/>
    </row>
    <row r="53" spans="1:8" ht="15.75">
      <c r="A53" s="56"/>
      <c r="B53" s="40"/>
      <c r="C53" s="187"/>
      <c r="D53" s="187"/>
      <c r="E53" s="187"/>
      <c r="F53" s="58"/>
      <c r="G53" s="59"/>
      <c r="H53" s="60"/>
    </row>
    <row r="54" spans="1:8">
      <c r="A54" s="34"/>
      <c r="B54" s="36"/>
      <c r="C54" s="188"/>
      <c r="D54" s="38"/>
      <c r="E54" s="39"/>
      <c r="F54" s="188"/>
      <c r="G54" s="188"/>
      <c r="H54" s="188"/>
    </row>
  </sheetData>
  <mergeCells count="13">
    <mergeCell ref="C9:E9"/>
    <mergeCell ref="C10:D10"/>
    <mergeCell ref="D36:F36"/>
    <mergeCell ref="A52:H52"/>
    <mergeCell ref="B37:G37"/>
    <mergeCell ref="B45:E45"/>
    <mergeCell ref="B46:E46"/>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4"/>
  <sheetViews>
    <sheetView topLeftCell="A10" workbookViewId="0">
      <selection activeCell="Q53" sqref="Q5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265" t="s">
        <v>252</v>
      </c>
      <c r="B2" s="266"/>
      <c r="C2" s="266"/>
      <c r="D2" s="266"/>
      <c r="E2" s="266"/>
      <c r="F2" s="266"/>
      <c r="G2" s="266"/>
      <c r="H2" s="267"/>
    </row>
    <row r="3" spans="1:8">
      <c r="A3" s="268" t="s">
        <v>123</v>
      </c>
      <c r="B3" s="269"/>
      <c r="C3" s="269"/>
      <c r="D3" s="269"/>
      <c r="E3" s="269"/>
      <c r="F3" s="269"/>
      <c r="G3" s="269"/>
      <c r="H3" s="270"/>
    </row>
    <row r="4" spans="1:8">
      <c r="A4" s="271" t="s">
        <v>294</v>
      </c>
      <c r="B4" s="272"/>
      <c r="C4" s="272"/>
      <c r="D4" s="272"/>
      <c r="E4" s="272"/>
      <c r="F4" s="272"/>
      <c r="G4" s="272"/>
      <c r="H4" s="273"/>
    </row>
    <row r="5" spans="1:8">
      <c r="A5" s="41"/>
      <c r="B5" s="42"/>
      <c r="C5" s="43"/>
      <c r="D5" s="43"/>
      <c r="E5" s="33"/>
      <c r="F5" s="43"/>
      <c r="G5" s="43"/>
      <c r="H5" s="44"/>
    </row>
    <row r="6" spans="1:8">
      <c r="A6" s="67">
        <v>1</v>
      </c>
      <c r="B6" s="274" t="s">
        <v>124</v>
      </c>
      <c r="C6" s="274"/>
      <c r="D6" s="274"/>
      <c r="E6" s="274"/>
      <c r="F6" s="274"/>
      <c r="G6" s="274"/>
      <c r="H6" s="275"/>
    </row>
    <row r="7" spans="1:8" ht="49.5" customHeight="1">
      <c r="A7" s="68">
        <v>111</v>
      </c>
      <c r="B7" s="298" t="s">
        <v>66</v>
      </c>
      <c r="C7" s="298"/>
      <c r="D7" s="298"/>
      <c r="E7" s="298"/>
      <c r="F7" s="298"/>
      <c r="G7" s="298"/>
      <c r="H7" s="299"/>
    </row>
    <row r="8" spans="1:8" ht="15.75" customHeight="1">
      <c r="A8" s="69"/>
      <c r="B8" s="278"/>
      <c r="C8" s="279"/>
      <c r="D8" s="279"/>
      <c r="E8" s="279"/>
      <c r="F8" s="279"/>
      <c r="G8" s="70" t="s">
        <v>125</v>
      </c>
      <c r="H8" s="90" t="s">
        <v>8</v>
      </c>
    </row>
    <row r="9" spans="1:8">
      <c r="A9" s="45"/>
      <c r="B9" s="46"/>
      <c r="C9" s="264"/>
      <c r="D9" s="264"/>
      <c r="E9" s="264"/>
      <c r="F9" s="47"/>
      <c r="G9" s="162"/>
      <c r="H9" s="48"/>
    </row>
    <row r="10" spans="1:8" ht="15.75">
      <c r="A10" s="49" t="s">
        <v>113</v>
      </c>
      <c r="B10" s="46"/>
      <c r="C10" s="281" t="s">
        <v>157</v>
      </c>
      <c r="D10" s="281"/>
      <c r="E10" s="162"/>
      <c r="F10" s="47"/>
      <c r="G10" s="162"/>
      <c r="H10" s="48"/>
    </row>
    <row r="11" spans="1:8" ht="15.75">
      <c r="A11" s="45"/>
      <c r="B11" s="73" t="s">
        <v>114</v>
      </c>
      <c r="C11" s="73"/>
      <c r="D11" s="73"/>
      <c r="E11" s="74"/>
      <c r="F11" s="74"/>
      <c r="G11" s="74" t="s">
        <v>9</v>
      </c>
      <c r="H11" s="48"/>
    </row>
    <row r="12" spans="1:8">
      <c r="A12" s="72"/>
      <c r="B12" s="75" t="s">
        <v>213</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42"/>
      <c r="G15" s="42"/>
      <c r="H15" s="51"/>
    </row>
    <row r="16" spans="1:8" ht="15.75">
      <c r="A16" s="52"/>
      <c r="B16" s="79" t="s">
        <v>118</v>
      </c>
      <c r="C16" s="80">
        <f>2+1</f>
        <v>3</v>
      </c>
      <c r="D16" s="42"/>
      <c r="E16" s="42"/>
      <c r="F16" s="42"/>
      <c r="G16" s="42"/>
      <c r="H16" s="51"/>
    </row>
    <row r="17" spans="1:8" ht="15.75">
      <c r="A17" s="52"/>
      <c r="B17" s="79" t="s">
        <v>119</v>
      </c>
      <c r="C17" s="80">
        <f>C15-C16</f>
        <v>15</v>
      </c>
      <c r="D17" s="42"/>
      <c r="E17" s="42"/>
      <c r="F17" s="42"/>
      <c r="G17" s="42"/>
      <c r="H17" s="51"/>
    </row>
    <row r="18" spans="1:8" ht="15.75">
      <c r="A18" s="161"/>
      <c r="B18" s="79" t="s">
        <v>120</v>
      </c>
      <c r="C18" s="80"/>
      <c r="D18" s="42"/>
      <c r="E18" s="42"/>
      <c r="F18" s="42"/>
      <c r="G18" s="42"/>
      <c r="H18" s="51"/>
    </row>
    <row r="19" spans="1:8" ht="15.75">
      <c r="A19" s="161"/>
      <c r="B19" s="79" t="s">
        <v>121</v>
      </c>
      <c r="C19" s="80">
        <f>G12</f>
        <v>1</v>
      </c>
      <c r="D19" s="42"/>
      <c r="E19" s="42"/>
      <c r="F19" s="42"/>
      <c r="G19" s="42"/>
      <c r="H19" s="51"/>
    </row>
    <row r="20" spans="1:8" ht="15.75">
      <c r="A20" s="161"/>
      <c r="B20" s="53"/>
      <c r="H20" s="51"/>
    </row>
    <row r="21" spans="1:8">
      <c r="A21" s="161"/>
      <c r="H21" s="51"/>
    </row>
    <row r="22" spans="1:8">
      <c r="A22" s="161"/>
      <c r="H22" s="51"/>
    </row>
    <row r="23" spans="1:8">
      <c r="A23" s="161"/>
      <c r="H23" s="51"/>
    </row>
    <row r="24" spans="1:8">
      <c r="A24" s="161"/>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60"/>
      <c r="E36" s="260"/>
      <c r="F36" s="260"/>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261" t="s">
        <v>212</v>
      </c>
      <c r="B52" s="262"/>
      <c r="C52" s="262"/>
      <c r="D52" s="262"/>
      <c r="E52" s="262"/>
      <c r="F52" s="262"/>
      <c r="G52" s="262"/>
      <c r="H52" s="263"/>
    </row>
    <row r="53" spans="1:8" ht="15.75">
      <c r="A53" s="56"/>
      <c r="B53" s="40"/>
      <c r="C53" s="163"/>
      <c r="D53" s="163"/>
      <c r="E53" s="163"/>
      <c r="F53" s="58"/>
      <c r="G53" s="59"/>
      <c r="H53" s="60"/>
    </row>
    <row r="54" spans="1:8">
      <c r="A54" s="34"/>
      <c r="B54" s="36"/>
      <c r="C54" s="164"/>
      <c r="D54" s="38"/>
      <c r="E54" s="39"/>
      <c r="F54" s="164"/>
      <c r="G54" s="164"/>
      <c r="H54" s="164"/>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vt:i4>
      </vt:variant>
    </vt:vector>
  </HeadingPairs>
  <TitlesOfParts>
    <vt:vector size="21" baseType="lpstr">
      <vt:lpstr>BM05</vt:lpstr>
      <vt:lpstr>102</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'BM05'!Area_de_impressao</vt:lpstr>
      <vt:lpstr>'COMPOSIÇÃO DO BDI EQUIPAMENTO'!Area_de_impressao</vt:lpstr>
      <vt:lpstr>'BM05'!Titulos_de_impressao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2022-02-07T14:43:49Z</cp:lastPrinted>
  <dcterms:created xsi:type="dcterms:W3CDTF">2018-07-31T01:21:33Z</dcterms:created>
  <dcterms:modified xsi:type="dcterms:W3CDTF">2022-03-31T12:51:45Z</dcterms:modified>
</cp:coreProperties>
</file>