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20370" yWindow="-120" windowWidth="20730" windowHeight="11160" tabRatio="1000"/>
  </bookViews>
  <sheets>
    <sheet name="BM17" sheetId="15" r:id="rId1"/>
    <sheet name="102" sheetId="22" r:id="rId2"/>
    <sheet name="104" sheetId="40" r:id="rId3"/>
    <sheet name="105" sheetId="23" r:id="rId4"/>
    <sheet name="106" sheetId="24" r:id="rId5"/>
    <sheet name="107" sheetId="25" r:id="rId6"/>
    <sheet name="108" sheetId="26" r:id="rId7"/>
    <sheet name="109" sheetId="27" r:id="rId8"/>
    <sheet name="110" sheetId="39" r:id="rId9"/>
    <sheet name="111" sheetId="36" r:id="rId10"/>
    <sheet name="112" sheetId="29" r:id="rId11"/>
    <sheet name="114" sheetId="30" r:id="rId12"/>
    <sheet name="115" sheetId="31" r:id="rId13"/>
    <sheet name="201" sheetId="33" r:id="rId14"/>
    <sheet name="202" sheetId="34" r:id="rId15"/>
    <sheet name="203" sheetId="35" r:id="rId16"/>
    <sheet name="204" sheetId="38" r:id="rId17"/>
    <sheet name="205" sheetId="37" r:id="rId18"/>
    <sheet name="210" sheetId="41" r:id="rId19"/>
    <sheet name="211" sheetId="42" r:id="rId20"/>
    <sheet name="COMPOSIÇÃO DO BDI EQUIPAMENTO" sheetId="20" state="hidden" r:id="rId21"/>
  </sheets>
  <externalReferences>
    <externalReference r:id="rId22"/>
    <externalReference r:id="rId23"/>
    <externalReference r:id="rId24"/>
  </externalReferences>
  <definedNames>
    <definedName name="_xlnm.Print_Area" localSheetId="1">'102'!$A$1:$H$66</definedName>
    <definedName name="_xlnm.Print_Area" localSheetId="2">'104'!$A$1:$H$52</definedName>
    <definedName name="_xlnm.Print_Area" localSheetId="4">'106'!$A$1:$H$54</definedName>
    <definedName name="_xlnm.Print_Area" localSheetId="5">'107'!$A$1:$H$54</definedName>
    <definedName name="_xlnm.Print_Area" localSheetId="6">'108'!$A$1:$H$54</definedName>
    <definedName name="_xlnm.Print_Area" localSheetId="7">'109'!$A$1:$H$54</definedName>
    <definedName name="_xlnm.Print_Area" localSheetId="8">'110'!$A$1:$H$54</definedName>
    <definedName name="_xlnm.Print_Area" localSheetId="9">'111'!$A$1:$H$54</definedName>
    <definedName name="_xlnm.Print_Area" localSheetId="10">'112'!$A$1:$H$54</definedName>
    <definedName name="_xlnm.Print_Area" localSheetId="11">'114'!$A$1:$H$54</definedName>
    <definedName name="_xlnm.Print_Area" localSheetId="12">'115'!$A$1:$H$54</definedName>
    <definedName name="_xlnm.Print_Area" localSheetId="13">'201'!$A$1:$H$60</definedName>
    <definedName name="_xlnm.Print_Area" localSheetId="14">'202'!$A$1:$H$62</definedName>
    <definedName name="_xlnm.Print_Area" localSheetId="15">'203'!$A$1:$H$55</definedName>
    <definedName name="_xlnm.Print_Area" localSheetId="16">'204'!$A$1:$H$60</definedName>
    <definedName name="_xlnm.Print_Area" localSheetId="17">'205'!$A$1:$H$64</definedName>
    <definedName name="_xlnm.Print_Area" localSheetId="18">'210'!$A$1:$H$64</definedName>
    <definedName name="_xlnm.Print_Area" localSheetId="19">'211'!$A$1:$H$64</definedName>
    <definedName name="_xlnm.Print_Area" localSheetId="0">'BM17'!$A$2:$AF$107</definedName>
    <definedName name="_xlnm.Print_Area" localSheetId="20">'COMPOSIÇÃO DO BDI EQUIPAMENTO'!$A$1:$E$52</definedName>
    <definedName name="SABRIL2017">'[1]SERVIÇOS ABRIL 2017'!$A$3:$E$6145</definedName>
    <definedName name="_xlnm.Print_Titles" localSheetId="0">'BM17'!$1:$9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3" i="15"/>
  <c r="J83"/>
  <c r="H83"/>
  <c r="F83"/>
  <c r="E89"/>
  <c r="F89" s="1"/>
  <c r="M47"/>
  <c r="M55"/>
  <c r="D19" i="23"/>
  <c r="G12"/>
  <c r="D33"/>
  <c r="D14" i="15"/>
  <c r="I100"/>
  <c r="M100" s="1"/>
  <c r="G100"/>
  <c r="H100" s="1"/>
  <c r="H99" s="1"/>
  <c r="I102"/>
  <c r="K102" s="1"/>
  <c r="L102" s="1"/>
  <c r="L101" s="1"/>
  <c r="G102"/>
  <c r="H102" s="1"/>
  <c r="H101" s="1"/>
  <c r="I98"/>
  <c r="J98" s="1"/>
  <c r="J97" s="1"/>
  <c r="H98"/>
  <c r="H97" s="1"/>
  <c r="G98"/>
  <c r="I96"/>
  <c r="M96" s="1"/>
  <c r="G96"/>
  <c r="H96" s="1"/>
  <c r="H95" s="1"/>
  <c r="I94"/>
  <c r="M94" s="1"/>
  <c r="G94"/>
  <c r="H94" s="1"/>
  <c r="I93"/>
  <c r="M93" s="1"/>
  <c r="G93"/>
  <c r="H93" s="1"/>
  <c r="I92"/>
  <c r="M92" s="1"/>
  <c r="G92"/>
  <c r="H92" s="1"/>
  <c r="I91"/>
  <c r="M91" s="1"/>
  <c r="G91"/>
  <c r="H91" s="1"/>
  <c r="I90"/>
  <c r="K90" s="1"/>
  <c r="L90" s="1"/>
  <c r="G90"/>
  <c r="H90" s="1"/>
  <c r="I89"/>
  <c r="M89" s="1"/>
  <c r="G89"/>
  <c r="I88"/>
  <c r="J88" s="1"/>
  <c r="G88"/>
  <c r="H88" s="1"/>
  <c r="I87"/>
  <c r="M87" s="1"/>
  <c r="G87"/>
  <c r="H87" s="1"/>
  <c r="I86"/>
  <c r="M86" s="1"/>
  <c r="G86"/>
  <c r="H86" s="1"/>
  <c r="K85"/>
  <c r="L85" s="1"/>
  <c r="I85"/>
  <c r="M85" s="1"/>
  <c r="H85"/>
  <c r="G85"/>
  <c r="I84"/>
  <c r="J84" s="1"/>
  <c r="G84"/>
  <c r="H84" s="1"/>
  <c r="I82"/>
  <c r="M82" s="1"/>
  <c r="G82"/>
  <c r="H82" s="1"/>
  <c r="I81"/>
  <c r="K81" s="1"/>
  <c r="L81" s="1"/>
  <c r="G81"/>
  <c r="H81" s="1"/>
  <c r="I80"/>
  <c r="M80" s="1"/>
  <c r="G80"/>
  <c r="H80" s="1"/>
  <c r="I79"/>
  <c r="J79" s="1"/>
  <c r="G79"/>
  <c r="H79" s="1"/>
  <c r="J78"/>
  <c r="I78"/>
  <c r="M78" s="1"/>
  <c r="G78"/>
  <c r="H78" s="1"/>
  <c r="I77"/>
  <c r="M77" s="1"/>
  <c r="G77"/>
  <c r="H77" s="1"/>
  <c r="I76"/>
  <c r="M76" s="1"/>
  <c r="G76"/>
  <c r="H76" s="1"/>
  <c r="I74"/>
  <c r="J74" s="1"/>
  <c r="J73" s="1"/>
  <c r="G74"/>
  <c r="H74" s="1"/>
  <c r="H73" s="1"/>
  <c r="I72"/>
  <c r="M72" s="1"/>
  <c r="G72"/>
  <c r="H72" s="1"/>
  <c r="I71"/>
  <c r="K71" s="1"/>
  <c r="L71" s="1"/>
  <c r="G71"/>
  <c r="H71" s="1"/>
  <c r="I70"/>
  <c r="M70" s="1"/>
  <c r="G70"/>
  <c r="H70" s="1"/>
  <c r="I69"/>
  <c r="J69" s="1"/>
  <c r="G69"/>
  <c r="H69" s="1"/>
  <c r="I67"/>
  <c r="M67" s="1"/>
  <c r="G67"/>
  <c r="H67" s="1"/>
  <c r="I66"/>
  <c r="K66" s="1"/>
  <c r="L66" s="1"/>
  <c r="G66"/>
  <c r="H66" s="1"/>
  <c r="I65"/>
  <c r="J65" s="1"/>
  <c r="G65"/>
  <c r="H65" s="1"/>
  <c r="I64"/>
  <c r="M64" s="1"/>
  <c r="G64"/>
  <c r="H64" s="1"/>
  <c r="I62"/>
  <c r="M62" s="1"/>
  <c r="G62"/>
  <c r="H62" s="1"/>
  <c r="I61"/>
  <c r="K61" s="1"/>
  <c r="L61" s="1"/>
  <c r="G61"/>
  <c r="H61" s="1"/>
  <c r="I60"/>
  <c r="J60" s="1"/>
  <c r="G60"/>
  <c r="H60" s="1"/>
  <c r="I59"/>
  <c r="M59" s="1"/>
  <c r="G59"/>
  <c r="H59" s="1"/>
  <c r="I58"/>
  <c r="M58" s="1"/>
  <c r="G58"/>
  <c r="H58" s="1"/>
  <c r="F102"/>
  <c r="F101" s="1"/>
  <c r="F100"/>
  <c r="F99" s="1"/>
  <c r="F98"/>
  <c r="F97" s="1"/>
  <c r="F96"/>
  <c r="F95" s="1"/>
  <c r="F94"/>
  <c r="F93"/>
  <c r="F92"/>
  <c r="F91"/>
  <c r="F90"/>
  <c r="F88"/>
  <c r="F87"/>
  <c r="F86"/>
  <c r="F85"/>
  <c r="F84"/>
  <c r="F82"/>
  <c r="F81"/>
  <c r="F80"/>
  <c r="F79"/>
  <c r="F78"/>
  <c r="F77"/>
  <c r="F76"/>
  <c r="F74"/>
  <c r="F73" s="1"/>
  <c r="F72"/>
  <c r="F71"/>
  <c r="F70"/>
  <c r="F69"/>
  <c r="F67"/>
  <c r="F66"/>
  <c r="F65"/>
  <c r="F64"/>
  <c r="F62"/>
  <c r="F61"/>
  <c r="F60"/>
  <c r="F59"/>
  <c r="F58"/>
  <c r="C66"/>
  <c r="C58"/>
  <c r="H89" l="1"/>
  <c r="J82"/>
  <c r="J80"/>
  <c r="K98"/>
  <c r="L98" s="1"/>
  <c r="L97" s="1"/>
  <c r="F57"/>
  <c r="F68"/>
  <c r="K60"/>
  <c r="L60" s="1"/>
  <c r="H75"/>
  <c r="J62"/>
  <c r="K79"/>
  <c r="L79" s="1"/>
  <c r="K80"/>
  <c r="L80" s="1"/>
  <c r="J92"/>
  <c r="K74"/>
  <c r="L74" s="1"/>
  <c r="L73" s="1"/>
  <c r="J76"/>
  <c r="F75"/>
  <c r="J58"/>
  <c r="K64"/>
  <c r="L64" s="1"/>
  <c r="K70"/>
  <c r="L70" s="1"/>
  <c r="K76"/>
  <c r="L76" s="1"/>
  <c r="K88"/>
  <c r="L88" s="1"/>
  <c r="J89"/>
  <c r="J91"/>
  <c r="K92"/>
  <c r="L92" s="1"/>
  <c r="J93"/>
  <c r="J96"/>
  <c r="J95" s="1"/>
  <c r="J100"/>
  <c r="J99" s="1"/>
  <c r="F63"/>
  <c r="K84"/>
  <c r="L84" s="1"/>
  <c r="J85"/>
  <c r="J87"/>
  <c r="K89"/>
  <c r="L89" s="1"/>
  <c r="K93"/>
  <c r="L93" s="1"/>
  <c r="K96"/>
  <c r="L96" s="1"/>
  <c r="L95" s="1"/>
  <c r="J72"/>
  <c r="H68"/>
  <c r="J70"/>
  <c r="K69"/>
  <c r="L69" s="1"/>
  <c r="J67"/>
  <c r="H63"/>
  <c r="K65"/>
  <c r="L65" s="1"/>
  <c r="J64"/>
  <c r="H57"/>
  <c r="K59"/>
  <c r="L59" s="1"/>
  <c r="J59"/>
  <c r="M71"/>
  <c r="M81"/>
  <c r="M90"/>
  <c r="M102"/>
  <c r="J71"/>
  <c r="K72"/>
  <c r="L72" s="1"/>
  <c r="J77"/>
  <c r="K78"/>
  <c r="L78" s="1"/>
  <c r="J81"/>
  <c r="K82"/>
  <c r="L82" s="1"/>
  <c r="J86"/>
  <c r="K87"/>
  <c r="L87" s="1"/>
  <c r="J90"/>
  <c r="K91"/>
  <c r="L91" s="1"/>
  <c r="J94"/>
  <c r="M98"/>
  <c r="J102"/>
  <c r="J101" s="1"/>
  <c r="K100"/>
  <c r="L100" s="1"/>
  <c r="L99" s="1"/>
  <c r="K77"/>
  <c r="L77" s="1"/>
  <c r="M79"/>
  <c r="M84"/>
  <c r="K86"/>
  <c r="L86" s="1"/>
  <c r="M88"/>
  <c r="K94"/>
  <c r="L94" s="1"/>
  <c r="M69"/>
  <c r="M74"/>
  <c r="M65"/>
  <c r="J66"/>
  <c r="K67"/>
  <c r="L67" s="1"/>
  <c r="M66"/>
  <c r="K58"/>
  <c r="L58" s="1"/>
  <c r="M60"/>
  <c r="J61"/>
  <c r="K62"/>
  <c r="L62" s="1"/>
  <c r="M61"/>
  <c r="F56" l="1"/>
  <c r="L68"/>
  <c r="L57"/>
  <c r="L75"/>
  <c r="J75"/>
  <c r="J68"/>
  <c r="L63"/>
  <c r="J63"/>
  <c r="J57"/>
  <c r="I55" l="1"/>
  <c r="G55"/>
  <c r="H55" s="1"/>
  <c r="I54"/>
  <c r="G54"/>
  <c r="H54" s="1"/>
  <c r="I53"/>
  <c r="G53"/>
  <c r="H53" s="1"/>
  <c r="I52"/>
  <c r="G52"/>
  <c r="H52" s="1"/>
  <c r="I51"/>
  <c r="G51"/>
  <c r="H51" s="1"/>
  <c r="I50"/>
  <c r="G50"/>
  <c r="H50" s="1"/>
  <c r="I49"/>
  <c r="G49"/>
  <c r="H49" s="1"/>
  <c r="I48"/>
  <c r="G48"/>
  <c r="H48" s="1"/>
  <c r="I45"/>
  <c r="G45"/>
  <c r="H45" s="1"/>
  <c r="I44"/>
  <c r="G44"/>
  <c r="H44" s="1"/>
  <c r="I43"/>
  <c r="G43"/>
  <c r="H43" s="1"/>
  <c r="I42"/>
  <c r="G42"/>
  <c r="H42" s="1"/>
  <c r="I41"/>
  <c r="G41"/>
  <c r="H41" s="1"/>
  <c r="I40"/>
  <c r="G40"/>
  <c r="H40" s="1"/>
  <c r="I29"/>
  <c r="I30"/>
  <c r="I31"/>
  <c r="I32"/>
  <c r="I33"/>
  <c r="I34"/>
  <c r="I35"/>
  <c r="I36"/>
  <c r="I37"/>
  <c r="I38"/>
  <c r="I28"/>
  <c r="G29"/>
  <c r="G30"/>
  <c r="G31"/>
  <c r="G32"/>
  <c r="G33"/>
  <c r="G34"/>
  <c r="G35"/>
  <c r="G36"/>
  <c r="G37"/>
  <c r="G38"/>
  <c r="G39"/>
  <c r="G28"/>
  <c r="G14"/>
  <c r="G15"/>
  <c r="G16"/>
  <c r="G17"/>
  <c r="G18"/>
  <c r="G19"/>
  <c r="G20"/>
  <c r="G21"/>
  <c r="G22"/>
  <c r="G23"/>
  <c r="G24"/>
  <c r="I14"/>
  <c r="I15"/>
  <c r="I16"/>
  <c r="I17"/>
  <c r="I18"/>
  <c r="I19"/>
  <c r="I20"/>
  <c r="I21"/>
  <c r="I22"/>
  <c r="I23"/>
  <c r="I24"/>
  <c r="I13"/>
  <c r="G13"/>
  <c r="C32" i="23" l="1"/>
  <c r="G47" i="15"/>
  <c r="G25"/>
  <c r="G26"/>
  <c r="G12"/>
  <c r="I47"/>
  <c r="I25"/>
  <c r="I26"/>
  <c r="I12"/>
  <c r="H43" i="37"/>
  <c r="G44" s="1"/>
  <c r="G45" s="1"/>
  <c r="C16" s="1"/>
  <c r="H42" i="38"/>
  <c r="G11" s="1"/>
  <c r="H42" i="34"/>
  <c r="E39"/>
  <c r="H41" i="33"/>
  <c r="G41" i="22"/>
  <c r="C51" i="42"/>
  <c r="H34"/>
  <c r="H33"/>
  <c r="C19"/>
  <c r="G13"/>
  <c r="C16" s="1"/>
  <c r="C17" s="1"/>
  <c r="G13" i="41"/>
  <c r="C16" s="1"/>
  <c r="C51"/>
  <c r="H34"/>
  <c r="H33"/>
  <c r="E38" i="33"/>
  <c r="G12" i="37" l="1"/>
  <c r="G43" i="38"/>
  <c r="C15" s="1"/>
  <c r="G12" i="34"/>
  <c r="G12" i="33"/>
  <c r="G12" i="22"/>
  <c r="C19" i="41"/>
  <c r="C17"/>
  <c r="J30" i="15" l="1"/>
  <c r="K31"/>
  <c r="L31" s="1"/>
  <c r="K32"/>
  <c r="L32" s="1"/>
  <c r="K33"/>
  <c r="L33" s="1"/>
  <c r="K34"/>
  <c r="L34" s="1"/>
  <c r="K35"/>
  <c r="L35" s="1"/>
  <c r="K36"/>
  <c r="L36" s="1"/>
  <c r="K37"/>
  <c r="L37" s="1"/>
  <c r="K38"/>
  <c r="L38" s="1"/>
  <c r="H32"/>
  <c r="H36"/>
  <c r="H30"/>
  <c r="H31"/>
  <c r="H33"/>
  <c r="H34"/>
  <c r="H35"/>
  <c r="H37"/>
  <c r="H38"/>
  <c r="F29"/>
  <c r="F30"/>
  <c r="F31"/>
  <c r="F32"/>
  <c r="F33"/>
  <c r="F34"/>
  <c r="F35"/>
  <c r="F36"/>
  <c r="F37"/>
  <c r="F38"/>
  <c r="J14"/>
  <c r="J15"/>
  <c r="J17"/>
  <c r="J18"/>
  <c r="J19"/>
  <c r="K20"/>
  <c r="L20" s="1"/>
  <c r="J21"/>
  <c r="J22"/>
  <c r="J23"/>
  <c r="K24"/>
  <c r="L24" s="1"/>
  <c r="J25"/>
  <c r="J26"/>
  <c r="H15"/>
  <c r="H17"/>
  <c r="H20"/>
  <c r="H21"/>
  <c r="H14"/>
  <c r="H18"/>
  <c r="H19"/>
  <c r="H22"/>
  <c r="H23"/>
  <c r="H24"/>
  <c r="H25"/>
  <c r="H26"/>
  <c r="F13"/>
  <c r="F14"/>
  <c r="F15"/>
  <c r="F16"/>
  <c r="F17"/>
  <c r="F18"/>
  <c r="F19"/>
  <c r="F20"/>
  <c r="F21"/>
  <c r="F22"/>
  <c r="F23"/>
  <c r="F24"/>
  <c r="F25"/>
  <c r="F26"/>
  <c r="F41"/>
  <c r="F42"/>
  <c r="F43"/>
  <c r="F44"/>
  <c r="F45"/>
  <c r="F40"/>
  <c r="F48"/>
  <c r="F49"/>
  <c r="F50"/>
  <c r="F51"/>
  <c r="F52"/>
  <c r="F53"/>
  <c r="F54"/>
  <c r="F55"/>
  <c r="G12" i="24"/>
  <c r="C16"/>
  <c r="H34" i="37"/>
  <c r="G34"/>
  <c r="E16" i="25"/>
  <c r="E18" i="24"/>
  <c r="J37" i="15" l="1"/>
  <c r="J33"/>
  <c r="K19"/>
  <c r="L19" s="1"/>
  <c r="J24"/>
  <c r="K15"/>
  <c r="L15" s="1"/>
  <c r="J20"/>
  <c r="K23"/>
  <c r="L23" s="1"/>
  <c r="J36"/>
  <c r="J32"/>
  <c r="K26"/>
  <c r="L26" s="1"/>
  <c r="K22"/>
  <c r="L22" s="1"/>
  <c r="K18"/>
  <c r="L18" s="1"/>
  <c r="K14"/>
  <c r="L14" s="1"/>
  <c r="J35"/>
  <c r="J31"/>
  <c r="K25"/>
  <c r="L25" s="1"/>
  <c r="K21"/>
  <c r="L21" s="1"/>
  <c r="K17"/>
  <c r="L17" s="1"/>
  <c r="J38"/>
  <c r="J34"/>
  <c r="K30"/>
  <c r="L30" s="1"/>
  <c r="J47"/>
  <c r="K12"/>
  <c r="C51" i="37"/>
  <c r="H33" s="1"/>
  <c r="B48" i="34"/>
  <c r="B51" s="1"/>
  <c r="F34" s="1"/>
  <c r="G43" s="1"/>
  <c r="C16" s="1"/>
  <c r="K51" i="15" l="1"/>
  <c r="J51"/>
  <c r="J48"/>
  <c r="K48"/>
  <c r="J52"/>
  <c r="K52"/>
  <c r="K50"/>
  <c r="J50"/>
  <c r="K54"/>
  <c r="J54"/>
  <c r="K55"/>
  <c r="J55"/>
  <c r="K49"/>
  <c r="J49"/>
  <c r="J53"/>
  <c r="K53"/>
  <c r="K44"/>
  <c r="J44"/>
  <c r="J41"/>
  <c r="K41"/>
  <c r="K45"/>
  <c r="J45"/>
  <c r="K43"/>
  <c r="J43"/>
  <c r="K42"/>
  <c r="J42"/>
  <c r="G34" i="34"/>
  <c r="G25"/>
  <c r="B47" i="33"/>
  <c r="B50" s="1"/>
  <c r="F33" s="1"/>
  <c r="G42" s="1"/>
  <c r="C16" s="1"/>
  <c r="G33" l="1"/>
  <c r="C50" i="38"/>
  <c r="G32" i="34"/>
  <c r="G31"/>
  <c r="G30"/>
  <c r="G29"/>
  <c r="G28"/>
  <c r="G27"/>
  <c r="G26"/>
  <c r="G31" i="33"/>
  <c r="G30"/>
  <c r="G29"/>
  <c r="G28"/>
  <c r="G27"/>
  <c r="G26"/>
  <c r="G25"/>
  <c r="G24"/>
  <c r="B48" i="22"/>
  <c r="B51" s="1"/>
  <c r="F34" s="1"/>
  <c r="F41" s="1"/>
  <c r="C16" s="1"/>
  <c r="H29" i="15" l="1"/>
  <c r="G34" i="22"/>
  <c r="G34" i="38"/>
  <c r="H34" s="1"/>
  <c r="G32" i="33"/>
  <c r="G33" i="34"/>
  <c r="K29" i="15" l="1"/>
  <c r="L29" s="1"/>
  <c r="J29"/>
  <c r="C16" i="30"/>
  <c r="G26"/>
  <c r="C16" i="35" l="1"/>
  <c r="B27" i="40"/>
  <c r="G21" i="35" l="1"/>
  <c r="C25"/>
  <c r="B25" i="40" l="1"/>
  <c r="B24"/>
  <c r="C15"/>
  <c r="B7"/>
  <c r="G13" l="1"/>
  <c r="C19" s="1"/>
  <c r="C17"/>
  <c r="D49" i="35" l="1"/>
  <c r="D48"/>
  <c r="C16" i="27" l="1"/>
  <c r="F28" i="29" l="1"/>
  <c r="F27"/>
  <c r="G28" i="37" l="1"/>
  <c r="C16" i="26" l="1"/>
  <c r="C18" i="25"/>
  <c r="C49"/>
  <c r="D18" i="24"/>
  <c r="D47" i="35" l="1"/>
  <c r="D46"/>
  <c r="D45"/>
  <c r="E27" i="23"/>
  <c r="E26"/>
  <c r="D50" i="35" l="1"/>
  <c r="D41"/>
  <c r="D40"/>
  <c r="D39"/>
  <c r="D38"/>
  <c r="D37"/>
  <c r="D36"/>
  <c r="D34"/>
  <c r="D29"/>
  <c r="D28"/>
  <c r="D27"/>
  <c r="D26"/>
  <c r="D25"/>
  <c r="D24"/>
  <c r="D23"/>
  <c r="G25" i="22"/>
  <c r="G26"/>
  <c r="F26" i="29"/>
  <c r="D47" i="39"/>
  <c r="D46"/>
  <c r="D45"/>
  <c r="D44"/>
  <c r="D43"/>
  <c r="D42"/>
  <c r="D41"/>
  <c r="D48" s="1"/>
  <c r="D49" s="1"/>
  <c r="D48" i="25"/>
  <c r="G33" i="22" l="1"/>
  <c r="D30" i="35"/>
  <c r="D42"/>
  <c r="G31" i="22" l="1"/>
  <c r="G32"/>
  <c r="G29"/>
  <c r="G27"/>
  <c r="G30" l="1"/>
  <c r="G28"/>
  <c r="G13" i="34"/>
  <c r="C19" s="1"/>
  <c r="D47" i="25" l="1"/>
  <c r="F24" i="29" l="1"/>
  <c r="F25"/>
  <c r="F23" l="1"/>
  <c r="F22"/>
  <c r="F21"/>
  <c r="F29" l="1"/>
  <c r="F31" s="1"/>
  <c r="C17" i="39"/>
  <c r="C19"/>
  <c r="L41" i="15" l="1"/>
  <c r="M23"/>
  <c r="M38"/>
  <c r="M26"/>
  <c r="M21"/>
  <c r="M37"/>
  <c r="M15"/>
  <c r="M14"/>
  <c r="K40"/>
  <c r="J12"/>
  <c r="J40"/>
  <c r="G13" i="39"/>
  <c r="M17" i="15" l="1"/>
  <c r="H47"/>
  <c r="C18" i="38" l="1"/>
  <c r="C17" i="36"/>
  <c r="C19"/>
  <c r="C46" i="25"/>
  <c r="C15" i="34"/>
  <c r="C15" i="33"/>
  <c r="C19"/>
  <c r="M22" i="15" l="1"/>
  <c r="G12" i="38"/>
  <c r="C16" s="1"/>
  <c r="G13" i="36"/>
  <c r="G13" i="35"/>
  <c r="G13" i="33"/>
  <c r="J28" i="15" l="1"/>
  <c r="H28"/>
  <c r="C17" i="35"/>
  <c r="C19"/>
  <c r="M28" i="15"/>
  <c r="M29"/>
  <c r="C17" i="33"/>
  <c r="C17" i="34"/>
  <c r="L55" i="15"/>
  <c r="L53"/>
  <c r="L51"/>
  <c r="L50"/>
  <c r="L49"/>
  <c r="L45"/>
  <c r="L42"/>
  <c r="C19" i="26"/>
  <c r="L54" i="15"/>
  <c r="L52"/>
  <c r="L48"/>
  <c r="L44"/>
  <c r="L43"/>
  <c r="L40"/>
  <c r="G12" i="31"/>
  <c r="C19" s="1"/>
  <c r="G13" i="27"/>
  <c r="C17" s="1"/>
  <c r="K28" i="15" l="1"/>
  <c r="L28" s="1"/>
  <c r="L39"/>
  <c r="M31"/>
  <c r="M30"/>
  <c r="K47"/>
  <c r="L47" s="1"/>
  <c r="J46"/>
  <c r="F13" i="25"/>
  <c r="G13" i="31"/>
  <c r="C17" s="1"/>
  <c r="G13" i="24"/>
  <c r="C19" s="1"/>
  <c r="J39" i="15"/>
  <c r="G12" i="29"/>
  <c r="C18" s="1"/>
  <c r="C19" i="27"/>
  <c r="G13" i="26"/>
  <c r="G13" i="22"/>
  <c r="C17" i="25" l="1"/>
  <c r="C17" i="26"/>
  <c r="C17" i="24"/>
  <c r="C16" i="29"/>
  <c r="C17" i="30"/>
  <c r="C19" i="22"/>
  <c r="H12" i="15"/>
  <c r="L12"/>
  <c r="F47"/>
  <c r="F28"/>
  <c r="F12"/>
  <c r="M12" s="1"/>
  <c r="H13" l="1"/>
  <c r="C17" i="22"/>
  <c r="M19" i="15"/>
  <c r="M20"/>
  <c r="H39"/>
  <c r="L46"/>
  <c r="H46"/>
  <c r="F39"/>
  <c r="F46"/>
  <c r="F27"/>
  <c r="F11"/>
  <c r="F103" l="1"/>
  <c r="K13"/>
  <c r="L13" s="1"/>
  <c r="J13"/>
  <c r="M18"/>
  <c r="M13" l="1"/>
  <c r="C17" i="23"/>
  <c r="F104" i="15"/>
  <c r="E25" i="20"/>
  <c r="E18"/>
  <c r="E28" s="1"/>
  <c r="E12"/>
  <c r="F106" i="15" l="1"/>
  <c r="B7" i="20"/>
  <c r="B6"/>
  <c r="G13" i="37" l="1"/>
  <c r="C19"/>
  <c r="C17" l="1"/>
  <c r="H27" i="15" l="1"/>
  <c r="M32" l="1"/>
  <c r="L27"/>
  <c r="J27" l="1"/>
  <c r="C19" i="23"/>
  <c r="H16" i="15" l="1"/>
  <c r="G13" i="23"/>
  <c r="K16" i="15" l="1"/>
  <c r="L16" s="1"/>
  <c r="J16"/>
  <c r="M16"/>
  <c r="H11"/>
  <c r="M25" l="1"/>
  <c r="J11"/>
  <c r="L11"/>
  <c r="M11" l="1"/>
  <c r="J56" l="1"/>
  <c r="J103" s="1"/>
  <c r="M103" s="1"/>
  <c r="J104" l="1"/>
  <c r="M104" s="1"/>
  <c r="J106" l="1"/>
  <c r="M106" l="1"/>
  <c r="L56"/>
  <c r="L103" s="1"/>
  <c r="L104" s="1"/>
  <c r="L106" l="1"/>
  <c r="L109" s="1"/>
  <c r="H56"/>
  <c r="H103" s="1"/>
  <c r="H104" l="1"/>
  <c r="H105" s="1"/>
  <c r="H106" l="1"/>
</calcChain>
</file>

<file path=xl/sharedStrings.xml><?xml version="1.0" encoding="utf-8"?>
<sst xmlns="http://schemas.openxmlformats.org/spreadsheetml/2006/main" count="1305" uniqueCount="472">
  <si>
    <t>CNPJ: 19.503.944/0001-00</t>
  </si>
  <si>
    <t>OBRA:</t>
  </si>
  <si>
    <t>CLIENTE:</t>
  </si>
  <si>
    <t>ITEM</t>
  </si>
  <si>
    <t>DESCRIÇÃO</t>
  </si>
  <si>
    <t>M</t>
  </si>
  <si>
    <t>AVENIDA AMINTAS BARROS, 3700 – ED CTC, SALA 109 B – LAGOA NOVA</t>
  </si>
  <si>
    <t>NATAL/RN – CEP: 59.075-810</t>
  </si>
  <si>
    <t>UNID.</t>
  </si>
  <si>
    <t>TOTAL</t>
  </si>
  <si>
    <t>UN</t>
  </si>
  <si>
    <t>VALORES UNITÁRIOS</t>
  </si>
  <si>
    <t>1.0</t>
  </si>
  <si>
    <t>CUSTOS INDIRETOS</t>
  </si>
  <si>
    <t>1.1</t>
  </si>
  <si>
    <t>Administração Central e Local</t>
  </si>
  <si>
    <t>1.2</t>
  </si>
  <si>
    <t>1.3</t>
  </si>
  <si>
    <t>Despesas Financeiras</t>
  </si>
  <si>
    <t>1.4</t>
  </si>
  <si>
    <t>2.0</t>
  </si>
  <si>
    <t>TRIBUTOS</t>
  </si>
  <si>
    <t>2.1</t>
  </si>
  <si>
    <t>Pis</t>
  </si>
  <si>
    <t>2.2</t>
  </si>
  <si>
    <t>Cofins</t>
  </si>
  <si>
    <t>2.3</t>
  </si>
  <si>
    <t xml:space="preserve">ISS </t>
  </si>
  <si>
    <t>2.4</t>
  </si>
  <si>
    <t>CPRB*</t>
  </si>
  <si>
    <t>3.0</t>
  </si>
  <si>
    <t>LUCRO</t>
  </si>
  <si>
    <t>3.1</t>
  </si>
  <si>
    <t>Lucro</t>
  </si>
  <si>
    <t>4.0</t>
  </si>
  <si>
    <t>TAXA TOTAL DE BDI</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</si>
  <si>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</si>
  <si>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</si>
  <si>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</si>
  <si>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</si>
  <si>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</si>
  <si>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</si>
  <si>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</si>
  <si>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</si>
  <si>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Quant.</t>
  </si>
  <si>
    <t>KG</t>
  </si>
  <si>
    <t>Taxa de Risco</t>
  </si>
  <si>
    <t>Seguros e Garantia</t>
  </si>
  <si>
    <t>DATA DA PROPOSTA: 26/01/2021</t>
  </si>
  <si>
    <t xml:space="preserve">MVP ENGENHARIA E CONSTRUÇÃO </t>
  </si>
  <si>
    <t>FISCALIZAÇÃO LEI 4.575 E LEI 5.283.GOVERNO DO RIO GRANDE DO NORTE</t>
  </si>
  <si>
    <t>Eng. Marcelo Vitor P. de Almeida</t>
  </si>
  <si>
    <t>CREA 210175065-1</t>
  </si>
  <si>
    <t>Sócio-Diretor</t>
  </si>
  <si>
    <t>BONIFICAÇÃO E DESPESAS INDIRETAS (BDI) - MATERIAIS E EQUIPAMENTOS RECURSO ESTADUAL</t>
  </si>
  <si>
    <r>
      <rPr>
        <b/>
        <sz val="10"/>
        <rFont val="Calibri"/>
        <family val="1"/>
      </rPr>
      <t>SERVIÇOS PRELIMINARES E GERAIS</t>
    </r>
  </si>
  <si>
    <r>
      <rPr>
        <sz val="10"/>
        <rFont val="Calibri"/>
        <family val="1"/>
      </rPr>
      <t>ART DE RESPONSABILIDADE TÉCNICA POR EXECUÇAO DOS SERVIÇOS</t>
    </r>
  </si>
  <si>
    <t>DEMOLIÇÃO DE REVESTIMENTO CERÂMICO, DE FORMA MANUAL, SEM REAPROVEITAMENTO</t>
  </si>
  <si>
    <t>DEMOLIÇÃO DE ARGAMASSAS, DE FORMA MANUAL, SEM REAPROVEITAMENTO</t>
  </si>
  <si>
    <r>
      <rPr>
        <sz val="10"/>
        <rFont val="Calibri"/>
        <family val="1"/>
      </rPr>
      <t xml:space="preserve">DEMOLIÇÃO DE ALVENARIA DE BLOCO
</t>
    </r>
    <r>
      <rPr>
        <sz val="10"/>
        <rFont val="Calibri"/>
        <family val="1"/>
      </rPr>
      <t>FURADO, DE FORMA MANUAL, SEM REAPROVEITAMENTO</t>
    </r>
  </si>
  <si>
    <t>RETIRADA DE ENTULHO UTILIZANDO CAIXA COLETORA CAPACIDADE 5 M3</t>
  </si>
  <si>
    <t>BANDEJA DE PROTEÇÃO - APARA LIXO C/ SUPORTE METÁLICO [2,50 + 0,80 A 45º] E CHAPA PLASTIFICADA 18MM</t>
  </si>
  <si>
    <r>
      <rPr>
        <sz val="10"/>
        <rFont val="Calibri"/>
        <family val="1"/>
      </rPr>
      <t>TELA DE NYLON PARA PROTEÇÃO DE FACHADA</t>
    </r>
  </si>
  <si>
    <t>LOCACAO DE ANDAIME METALICO TIPO FACHADEIRO, LARGURA DE 1,20 M, ALTURA POR PECA DE 2,0 M, INCLUINDO SAPATAS E ITENS NECESSARIOS A INSTALACAO</t>
  </si>
  <si>
    <t>MONTAGEM E DESMONTAGEM DE ANDAIME MODULAR FACHADEIRO, COM PISO METÁLICO, PARA EDIFICAÇÕES COM MÚLTIPLOS PAVIMENTOS (EXCLUSIVE
ANDAIME E LIMPEZA)</t>
  </si>
  <si>
    <t>MONTAGEM E DESMONTAGEM DE BALANCIM, COM PISO METÁLICO, PARA EDIFICAÇÕES COM MÚLTIPLOS PAVIMENTOS</t>
  </si>
  <si>
    <t>LOCAÇÃO DE MINI GRUA CAPACIDADE DE ELEVAÇÃO DE CARGA 500 KG, ÂNGULO DE ROTAÇÃO 360º, CABO AÇO 5/16 50M, COM SISTEMA DE MOTO FREIO REDUTOR COM NIVELADOR DE ANDAR.</t>
  </si>
  <si>
    <t>ANDAIME SUSPENSO OU BALANCIM, TIPO PESADO (CARGA TOTAL DE 250 KG/M2), PLATAFORMA DE 1,50 X 3,00 M, COM 4 CATRACAS (GUINCHOS) E CABO DE 45,00 M (LOCACAO )</t>
  </si>
  <si>
    <r>
      <rPr>
        <sz val="10"/>
        <rFont val="Calibri"/>
        <family val="1"/>
      </rPr>
      <t>ENSAIO DE RESISTÊNCIA E ADERÊNCIA NO REBOCO - NBR 1352/2010</t>
    </r>
  </si>
  <si>
    <r>
      <rPr>
        <sz val="10"/>
        <rFont val="Calibri"/>
        <family val="1"/>
      </rPr>
      <t>ADMINISTRAÇÃO LOCAL</t>
    </r>
  </si>
  <si>
    <r>
      <rPr>
        <sz val="10"/>
        <rFont val="Calibri"/>
        <family val="1"/>
      </rPr>
      <t>EPI (ENCARGOS COMPLEMENTARES)</t>
    </r>
  </si>
  <si>
    <r>
      <rPr>
        <b/>
        <sz val="10"/>
        <rFont val="Calibri"/>
        <family val="1"/>
      </rPr>
      <t>SERVIÇOS DE REVESTIMENTO</t>
    </r>
  </si>
  <si>
    <t>CHAPISCO APLICADO TANTO EM PILARES E VIGAS DE CONCRETO COMO EM ALVENARIA DE FACHADA COM PRESENÇA DE VÃOS, COM ROLO PARA TEXTURA ACRÍLICA. ARGAMASSA TRAÇO 1:4 E EMULSÃO POLIMÉRICA (ADESIVO) COM PREPARO EM BETONEIRA</t>
  </si>
  <si>
    <t>EMBOÇO OU MASSA ÚNICA EM ARGAMASSA INDUSTRIALIZADA, PREPARO MECÂNICO E APLICAÇÃO COM EQUIPAMENTO DE MISTURA E PROJEÇÃO DE 1,5 M3/H DE ARGAMASSA EM PANOS DE FACHADA COM PRESENÇA DE VÃOS, ESPESSURA DE 25 MM.</t>
  </si>
  <si>
    <t>REVESTIMENTO CERÂMICO PARA PAREDES EXTERNAS EM PASTILHAS DE PORCELANA 5 X 5 CM (PLACAS DE 30 X 30 CM), ALINHADAS A PRUMO, APLICADO EM PANOS COM VÃOS.</t>
  </si>
  <si>
    <t>REJUNTAMENTO COM ARGAMASSA DE REJUNTAMENTO DE ALTO DESEMPENHO, ADITIVADA COM EMULSÃO POLIMÉRICA OU RESINA SINTÉTICA EM PÓ REDISPERSÍVEL E PERMEABILIDADE REDUZIDA (NBR 14.992)</t>
  </si>
  <si>
    <t>ENTELAMENTO CORRETIVO DE SUPERFÍCIE C/TRINCA P/RETRAÇÃO OU DILATAÇÃO TELA LARG.=15cm REF. CENT.LARG.=5cm</t>
  </si>
  <si>
    <r>
      <rPr>
        <sz val="10"/>
        <rFont val="Calibri"/>
        <family val="1"/>
      </rPr>
      <t>TELA METÁLICA ELETROSSOLDADA ZINCADA A FOGO # 25 X 25 MM / Ø 1,24 MM</t>
    </r>
  </si>
  <si>
    <t>PINOS DE COM FURO 1/4 3X25 EM AÇO CRAVADOS COM FERRAMENTA DE PISTÃO NA ESTRUTURA OU NAS JUNTAS DE ARGAMASSA</t>
  </si>
  <si>
    <t>ENSAIO DE RESISTÊNCIA DE ADERÊNCIA DE CORPO E SUPERFICIAL</t>
  </si>
  <si>
    <t>APLICAÇÃO E LIXAMENTO DE MASSA LÁTEX EM PAREDES, DUAS DEMÃOS</t>
  </si>
  <si>
    <t>APLICAÇÃO MANUAL DE PINTURA COM TINTA LÁTEX PVA EM PAREDES, DUAS DEMÃO</t>
  </si>
  <si>
    <r>
      <rPr>
        <b/>
        <sz val="10"/>
        <rFont val="Calibri"/>
        <family val="1"/>
      </rPr>
      <t>LAJE TÉCNICA</t>
    </r>
  </si>
  <si>
    <r>
      <rPr>
        <sz val="10"/>
        <rFont val="Calibri"/>
        <family val="1"/>
      </rPr>
      <t>LAJE  TÉCNICA EM ESTRUTURA METÁLICA CONF. PROJETO</t>
    </r>
  </si>
  <si>
    <t>PORTA DE ALUMÍNIO DE ABRIR COM LAMBRI, COM GUARNIÇÃO, FIXAÇÃO COM PARAFUSOS
- FORNECIMENTO E INSTALAÇÃO</t>
  </si>
  <si>
    <t>TUBO PVC, SÉRIE R, ÁGUA PLUVIAL, DN 50 MM, FORNECIDO E INSTALADO EM RAMAL DE ENCAMINHAMENTO</t>
  </si>
  <si>
    <t>RASGO EM ALVENARIA PARA RAMAIS/ DISTRIBUIÇÃO COM DIAMETROS MENORES OU
IGUAIS A 50 MM.</t>
  </si>
  <si>
    <t>ELETRODUTO RÍGIDO ROSCÁVEL, PVC, DN 40 MM (1 1/4"), PARA CIRCUITOS TERMINAIS, INSTALADO EM PAREDE - FORNECIMENTO E INSTALAÇÃO. AF_12/2015</t>
  </si>
  <si>
    <r>
      <rPr>
        <sz val="10"/>
        <rFont val="Calibri"/>
        <family val="1"/>
      </rPr>
      <t xml:space="preserve">ELETRODUTO RÍGIDO ROSCÁVEL, PVC, DN 75 MM (2 1/2") - FORNECIMENTO E
</t>
    </r>
    <r>
      <rPr>
        <sz val="10"/>
        <rFont val="Calibri"/>
        <family val="1"/>
      </rPr>
      <t>INSTALAÇÃO.</t>
    </r>
  </si>
  <si>
    <r>
      <rPr>
        <b/>
        <sz val="10"/>
        <rFont val="Calibri"/>
        <family val="1"/>
      </rPr>
      <t>DIVERSOS</t>
    </r>
  </si>
  <si>
    <r>
      <rPr>
        <sz val="10"/>
        <rFont val="Calibri"/>
        <family val="1"/>
      </rPr>
      <t xml:space="preserve">RELOCAÇÃO DE SPLITS DOS ANDARES PARA
</t>
    </r>
    <r>
      <rPr>
        <sz val="10"/>
        <rFont val="Calibri"/>
        <family val="1"/>
      </rPr>
      <t>OS SUPORTES METÁLICOS PARA CONDENSADORES DE AR CONDICIONADO</t>
    </r>
  </si>
  <si>
    <t>CORTE EM CONCRETO DETERIORADO</t>
  </si>
  <si>
    <r>
      <rPr>
        <sz val="10"/>
        <rFont val="Calibri"/>
        <family val="1"/>
      </rPr>
      <t>RECUPERAÇÃO CONCRETO, C/REFORÇO E RECONSTITUIÇÃO “GROUNT”, ESP.=60MM</t>
    </r>
  </si>
  <si>
    <r>
      <rPr>
        <sz val="10"/>
        <rFont val="Calibri"/>
        <family val="1"/>
      </rPr>
      <t>RECUPERAÇÃO CONCRETO, S/REFORÇO E RECONSTITUIÇÃO “GROUNT”, ESP.=60MM</t>
    </r>
  </si>
  <si>
    <r>
      <rPr>
        <sz val="10"/>
        <rFont val="Calibri"/>
        <family val="1"/>
      </rPr>
      <t>LIMPEZA DE SUPERFÍCIE C/ ESCOVA DE AÇO</t>
    </r>
  </si>
  <si>
    <t>RECUPERAÇÃO CONCRETO, S/REFORÇO RECONSTITUIÇÃO C/ ARGAMASSA POLIMÉRICA ESP.=25MM</t>
  </si>
  <si>
    <t>PINTURA PROTEÇÃO C/INIBIDOR MIGRATÓRIO CORROSÃO, 3 DEMÃOS</t>
  </si>
  <si>
    <t>APLICAÇÃO DE ADESIVO ESTRUTURAL BASE EPOXI</t>
  </si>
  <si>
    <t>LIMPEZA DE REVESTIMENTO EM PAREDE C/ SOLUCAO DE ACIDO MURIATICO/AMONIA</t>
  </si>
  <si>
    <t>M2</t>
  </si>
  <si>
    <t>M3</t>
  </si>
  <si>
    <t>M2 / MÊS</t>
  </si>
  <si>
    <t>MÊS</t>
  </si>
  <si>
    <t>m2</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</si>
  <si>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</si>
  <si>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</si>
  <si>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</si>
  <si>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</si>
  <si>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</si>
  <si>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</si>
  <si>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</si>
  <si>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</si>
  <si>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</si>
  <si>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</si>
  <si>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</si>
  <si>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</si>
  <si>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</si>
  <si>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</si>
  <si>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</si>
  <si>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</si>
  <si>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</si>
  <si>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</si>
  <si>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</si>
  <si>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</si>
  <si>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</si>
  <si>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m²</t>
  </si>
  <si>
    <t>calculo de áreas</t>
  </si>
  <si>
    <t>Demolição cerâmica</t>
  </si>
  <si>
    <t xml:space="preserve"> Retirada de Demolição</t>
  </si>
  <si>
    <t>ESP.(m)</t>
  </si>
  <si>
    <t>CRITÉRIO DE LEVANTAMENTO: CALCULO VOLUME DE DEMOLIÇÃO</t>
  </si>
  <si>
    <t>Bandeja de proteção</t>
  </si>
  <si>
    <t>TELA DE NYLON PARA PROTEÇÃO DE FACHADA</t>
  </si>
  <si>
    <t>Tela de nylon</t>
  </si>
  <si>
    <t>CRITÉRIO DE LEVANTAMENTO: CALCULO DE ÁREA</t>
  </si>
  <si>
    <t>M²/MÊS</t>
  </si>
  <si>
    <t>Quantidade balancim</t>
  </si>
  <si>
    <t>CRITÉRIO DE LEVANTAMENTO: CALCULO DE QUANTIDADES</t>
  </si>
  <si>
    <t>Unid.</t>
  </si>
  <si>
    <t>Mês uso</t>
  </si>
  <si>
    <t>5mm da pastilha</t>
  </si>
  <si>
    <t>ADMINISTRAÇÃO LOCAL</t>
  </si>
  <si>
    <t>EPI (ENCARGOS COMPLEMENTARES)</t>
  </si>
  <si>
    <t>CRITÉRIO DE LEVANTAMENTO: Quantidades de colaboradores contratados</t>
  </si>
  <si>
    <t>____________________________
Eng. Claudio Henrique Milanez de Moura 
TCE</t>
  </si>
  <si>
    <t>____________________________
Eng.Flavio Grande Ramalho 
TCE</t>
  </si>
  <si>
    <t xml:space="preserve">CRITÉRIO DE LEVANTAMENTO:  calculo de área </t>
  </si>
  <si>
    <t>Mont.Desm. Fachadeiro</t>
  </si>
  <si>
    <t>Locação fachadeiro</t>
  </si>
  <si>
    <t>Admin. Local</t>
  </si>
  <si>
    <t>CRITÉRIO DE LEVANTAMENTO: a obra terá a duração de 12 meses(360dias), BM01 conrreponde a 0,5mes</t>
  </si>
  <si>
    <t>Calculo volume</t>
  </si>
  <si>
    <t>Calculo área</t>
  </si>
  <si>
    <t>Calculo m²/mês proporcional</t>
  </si>
  <si>
    <t>Calculo de área</t>
  </si>
  <si>
    <t>Calculo de quantidade</t>
  </si>
  <si>
    <t>Quantidade colaboradores</t>
  </si>
  <si>
    <t>Acumulado</t>
  </si>
  <si>
    <t>Valor medido</t>
  </si>
  <si>
    <t>Real. Acumul.</t>
  </si>
  <si>
    <t>COMPR.(m)</t>
  </si>
  <si>
    <t>(*) Uso para instalação das bandejas</t>
  </si>
  <si>
    <t>Pascoal Benvindo Dias</t>
  </si>
  <si>
    <t>Romildo Ribeiro de Araujo</t>
  </si>
  <si>
    <t>Marcos Fernando de Oliveira</t>
  </si>
  <si>
    <t>Robson Conceição do Nascimento</t>
  </si>
  <si>
    <t>Sebastião Feliciano da Silva</t>
  </si>
  <si>
    <t xml:space="preserve">Ailton Ceilio de Oliveira  </t>
  </si>
  <si>
    <t>Cicero Costa de Gaes</t>
  </si>
  <si>
    <t>Jessica Luduvico de Moraes</t>
  </si>
  <si>
    <t>Everaldo Jorge do Nascimento</t>
  </si>
  <si>
    <t>Francisco Marques da Silva</t>
  </si>
  <si>
    <t>Igor Richarlisson Rodrigues da Silva</t>
  </si>
  <si>
    <t>Ivanildo Gomes Feitosa</t>
  </si>
  <si>
    <t>Ednaldo Gomes Feitosa</t>
  </si>
  <si>
    <t>ÁREA</t>
  </si>
  <si>
    <t/>
  </si>
  <si>
    <t>empolamento</t>
  </si>
  <si>
    <t>João Vitor de Mello</t>
  </si>
  <si>
    <t>SERVIÇOS DE REVESTIMENTO</t>
  </si>
  <si>
    <t>CHAPISCO</t>
  </si>
  <si>
    <t>CRITÉRIO DE LEVANTAMENTO: CALCULO DE ÁREAS</t>
  </si>
  <si>
    <t>João Lourenço Xavier</t>
  </si>
  <si>
    <t>Jeovani da Silva</t>
  </si>
  <si>
    <t>Carlos Magnos de Souza</t>
  </si>
  <si>
    <t>Francisco Caninde Florencio da Cruz Silva</t>
  </si>
  <si>
    <t>Matteus Cunha</t>
  </si>
  <si>
    <t>Aldair José Fereira</t>
  </si>
  <si>
    <t>EMBOÇO</t>
  </si>
  <si>
    <t>JUNTAS</t>
  </si>
  <si>
    <t>JUNTA DE CONTROLE HORIZONTAL E VERTICAL</t>
  </si>
  <si>
    <t>CRITÉRIO DE LEVANTAMENTO: CALCULO METRAGEM</t>
  </si>
  <si>
    <t>___________________________
Eng. Sténio de Oliveira Vera
TCE</t>
  </si>
  <si>
    <t>PERIMETRO 73,93</t>
  </si>
  <si>
    <t>ALTURA 50,76</t>
  </si>
  <si>
    <t xml:space="preserve">ÁREA = </t>
  </si>
  <si>
    <t>CRITÉRIO DE LEVANTAMENTO: EQUIPAMENTO EXISTENTE NA OBRA - CONTAGEM</t>
  </si>
  <si>
    <t>Movimento carga</t>
  </si>
  <si>
    <t>M²</t>
  </si>
  <si>
    <t xml:space="preserve">REJUNTAMENTO </t>
  </si>
  <si>
    <t>LOCAL</t>
  </si>
  <si>
    <t>UNIDADE</t>
  </si>
  <si>
    <t>PAREDE 1</t>
  </si>
  <si>
    <t>PAREDE 2</t>
  </si>
  <si>
    <t>PAREDE 3</t>
  </si>
  <si>
    <t>PAREDE 4</t>
  </si>
  <si>
    <t>PAREDE 5</t>
  </si>
  <si>
    <t>PAREDE 6</t>
  </si>
  <si>
    <t>volume empolado</t>
  </si>
  <si>
    <t>DEMOLIÇÃO DE PASTILHAS</t>
  </si>
  <si>
    <t>PAREDE 7</t>
  </si>
  <si>
    <t>ACUMULADO</t>
  </si>
  <si>
    <t>NO MÊS</t>
  </si>
  <si>
    <t>mês</t>
  </si>
  <si>
    <t>PASTILHAS</t>
  </si>
  <si>
    <t>nov.21</t>
  </si>
  <si>
    <t>balancim: Mont. Desmontag.</t>
  </si>
  <si>
    <t>Valor TOTAL
CONTRATO R$</t>
  </si>
  <si>
    <t>QUANT.
 Total Contrato</t>
  </si>
  <si>
    <t>PAREDE 8</t>
  </si>
  <si>
    <t>PAREDE 9</t>
  </si>
  <si>
    <t>PAREDE 10</t>
  </si>
  <si>
    <t>PAREDE 11</t>
  </si>
  <si>
    <t>PAREDE 12</t>
  </si>
  <si>
    <t xml:space="preserve">dez. 21 </t>
  </si>
  <si>
    <t>CRITÉRIO DE LEVANTAMENTO: CALCULO PROPORCIONALIDADE DO BALANCIM DE 3,00M</t>
  </si>
  <si>
    <t>Calculo de proporcionalidade</t>
  </si>
  <si>
    <t>ETAPA 1</t>
  </si>
  <si>
    <t>quantidade</t>
  </si>
  <si>
    <t>total</t>
  </si>
  <si>
    <t>ETAPA 2</t>
  </si>
  <si>
    <t>ETAPA 3</t>
  </si>
  <si>
    <t>ETAPA 4</t>
  </si>
  <si>
    <t xml:space="preserve">Dez/21 - </t>
  </si>
  <si>
    <t xml:space="preserve">ETAPAS </t>
  </si>
  <si>
    <t xml:space="preserve">Quant.meses </t>
  </si>
  <si>
    <t>intervalo</t>
  </si>
  <si>
    <t>M³</t>
  </si>
  <si>
    <t>mês 1
SET21</t>
  </si>
  <si>
    <t>mês 2
OUT21</t>
  </si>
  <si>
    <t>mês 3
NOV21</t>
  </si>
  <si>
    <t>mês 4
DEZ21</t>
  </si>
  <si>
    <t>7,14+2,47*50</t>
  </si>
  <si>
    <t>Reforço de tela duplicada</t>
  </si>
  <si>
    <t>mês 5
JAN22</t>
  </si>
  <si>
    <t>jan. 22</t>
  </si>
  <si>
    <t>PAREDE 13</t>
  </si>
  <si>
    <t>PAREDE 14</t>
  </si>
  <si>
    <t>PAREDE 15</t>
  </si>
  <si>
    <t>10mm da cola da pastilha + lixamento</t>
  </si>
  <si>
    <t>área acumulada</t>
  </si>
  <si>
    <t>fev. 22</t>
  </si>
  <si>
    <t>Reforço de tela triplicada</t>
  </si>
  <si>
    <t>PARA PROTEÇÃO DOS EQUIPAMENTOS DE AR CONDICIONADO</t>
  </si>
  <si>
    <t>2X19,41*50</t>
  </si>
  <si>
    <t>DUPLICAR</t>
  </si>
  <si>
    <t>Comprimento
m</t>
  </si>
  <si>
    <t>Quantidade</t>
  </si>
  <si>
    <t>Total 
m</t>
  </si>
  <si>
    <t>Equivalencia para 3,00m</t>
  </si>
  <si>
    <t>ÁREA ET 2</t>
  </si>
  <si>
    <t>ETAPAS 1 2 e3</t>
  </si>
  <si>
    <t>MEDIDAS</t>
  </si>
  <si>
    <t>QUANTIDADES</t>
  </si>
  <si>
    <t>SUB TOTAL</t>
  </si>
  <si>
    <t>Até jan22</t>
  </si>
  <si>
    <t>Acum. Fev/22</t>
  </si>
  <si>
    <t>mês 6
FEV 22</t>
  </si>
  <si>
    <t>mês 7
MAR 22</t>
  </si>
  <si>
    <t>Parede 4</t>
  </si>
  <si>
    <t>4,00m x 4,00m x 6cm</t>
  </si>
  <si>
    <t>Parede shiller terreo</t>
  </si>
  <si>
    <t>13,70m x 5,4m *6cm</t>
  </si>
  <si>
    <t>Set/21 - mar/22</t>
  </si>
  <si>
    <t>Out/21 - mar/22</t>
  </si>
  <si>
    <t>Nov/21 - mar/22</t>
  </si>
  <si>
    <t>Jan/22 - mar/22</t>
  </si>
  <si>
    <t>fev/22 - mar/22</t>
  </si>
  <si>
    <t>Calculo de comprimento</t>
  </si>
  <si>
    <t>ETAPA 5</t>
  </si>
  <si>
    <t>Acum. Mar/22</t>
  </si>
  <si>
    <t>PAREDE 16</t>
  </si>
  <si>
    <t>PAREDE 18</t>
  </si>
  <si>
    <t>Abril 22</t>
  </si>
  <si>
    <t>Proteção do telhado do plenário</t>
  </si>
  <si>
    <t>Aditivo 01</t>
  </si>
  <si>
    <t>nov/21</t>
  </si>
  <si>
    <t>Medição Acumulada BM08</t>
  </si>
  <si>
    <t>set/21</t>
  </si>
  <si>
    <t>out/21</t>
  </si>
  <si>
    <t>dez/21</t>
  </si>
  <si>
    <t>jan/22</t>
  </si>
  <si>
    <t>fev/22</t>
  </si>
  <si>
    <t>mar/22</t>
  </si>
  <si>
    <t>abr/22</t>
  </si>
  <si>
    <t>____________________________
Eng. Pascoal Benvindo Dias
MVP - Gerente do Contrato</t>
  </si>
  <si>
    <t>ÁREA DO CHILLER</t>
  </si>
  <si>
    <t>dia 30</t>
  </si>
  <si>
    <t>Contrato</t>
  </si>
  <si>
    <t>-</t>
  </si>
  <si>
    <t>mês 8
ABRIL22</t>
  </si>
  <si>
    <t>mês 9
MAIO22</t>
  </si>
  <si>
    <t>CAIXA D'ÁGUA</t>
  </si>
  <si>
    <t>ENTRADA CARROS</t>
  </si>
  <si>
    <t>mai/22</t>
  </si>
  <si>
    <t>Acum. MaIr/22</t>
  </si>
  <si>
    <t>CHILLER</t>
  </si>
  <si>
    <t>CALCULO DE ÁREA</t>
  </si>
  <si>
    <t>PRAZO DE EXECUÇÃO DA OBRA:360 DIAS- DATA DE INÍCIO: 23/08/2021 (OS)</t>
  </si>
  <si>
    <t>calculo área</t>
  </si>
  <si>
    <t>Demolição ALVENARIA</t>
  </si>
  <si>
    <t>JUN/22</t>
  </si>
  <si>
    <t>mês 10
JUN22</t>
  </si>
  <si>
    <t>Acum. Jun22</t>
  </si>
  <si>
    <t>mês 11
JUL22</t>
  </si>
  <si>
    <t>DEMOLIÇÃO DE ALVENARIA</t>
  </si>
  <si>
    <t>JUL/22</t>
  </si>
  <si>
    <t>CHILLER TERREO</t>
  </si>
  <si>
    <t>mês 12 AGO/22</t>
  </si>
  <si>
    <t>SALA CHILLER</t>
  </si>
  <si>
    <t>PERGOLADO</t>
  </si>
  <si>
    <t>Chiller terreo</t>
  </si>
  <si>
    <t>FACHADA FRONTAL</t>
  </si>
  <si>
    <t>COBERTURA CHAPIM</t>
  </si>
  <si>
    <t>ago/22</t>
  </si>
  <si>
    <t>REJUNTE DAS PASTILHAS</t>
  </si>
  <si>
    <t>mês 13 SET/22</t>
  </si>
  <si>
    <t>SACADA DIREITA</t>
  </si>
  <si>
    <t>Acum.jul/22</t>
  </si>
  <si>
    <t>mês 14 out22</t>
  </si>
  <si>
    <t>PAREDE 17</t>
  </si>
  <si>
    <t>frontal</t>
  </si>
  <si>
    <t>Mes out/22</t>
  </si>
  <si>
    <t>2ºaditivo</t>
  </si>
  <si>
    <t>Outubro 22</t>
  </si>
  <si>
    <t>BANDEJA DE PROTEÇÃO - APARA LIXO C/ SUPORTE METÁLICO 2,50 + 0,80 A 45º E CHAPA PLASTIFICADA 18MM</t>
  </si>
  <si>
    <t>Medição acumulada BM13</t>
  </si>
  <si>
    <t>mês 15 Novt22</t>
  </si>
  <si>
    <t>mês 16 Dez22</t>
  </si>
  <si>
    <t>BM16</t>
  </si>
  <si>
    <t>BM 16</t>
  </si>
  <si>
    <t>(*)</t>
  </si>
  <si>
    <t>(*) nov e dez/22</t>
  </si>
  <si>
    <t>MEMÓRIA DE CÁLCULO DO BOLETIM MENSAL DE MEDIÇÃO DOS SERVIÇOS - BM17</t>
  </si>
  <si>
    <t>BM17</t>
  </si>
  <si>
    <t>Abertura shaft para tubos ara condicionado</t>
  </si>
  <si>
    <t xml:space="preserve">4 por andar </t>
  </si>
  <si>
    <t>15 x 35 cm</t>
  </si>
  <si>
    <t>executado do 12 ao 5º andar</t>
  </si>
  <si>
    <t>4*8*0,15*0,35</t>
  </si>
  <si>
    <t>PERÍODO DE REFERÊNCIA DA MEDIÇÃO ATUAL: 27 a 31 dezembro 2022</t>
  </si>
  <si>
    <t>NÃO HOUVE MEDIÇÃO DO CONTRATO EM NOV/2022 E UTILIZAMOS ESTE EQUIPAMENTO. Em dezembro/22 estamos medindo o mês de nov e dez/22.</t>
  </si>
  <si>
    <t>do 12º ao 5ºandar</t>
  </si>
  <si>
    <t>shaft para passagem dos tubos de para condicinados 4 /andar</t>
  </si>
  <si>
    <t>0,25*4*(8*4)</t>
  </si>
  <si>
    <t>PINTURA</t>
  </si>
  <si>
    <t>PINTURA PAREDES</t>
  </si>
  <si>
    <t>12º</t>
  </si>
  <si>
    <t>11º</t>
  </si>
  <si>
    <t>10º</t>
  </si>
  <si>
    <t>9º</t>
  </si>
  <si>
    <t>8º</t>
  </si>
  <si>
    <t>7º</t>
  </si>
  <si>
    <t>6º</t>
  </si>
  <si>
    <t>5º</t>
  </si>
  <si>
    <t>PREVISTO</t>
  </si>
  <si>
    <t>EXECUTADO</t>
  </si>
  <si>
    <t>MASSA LATEX</t>
  </si>
  <si>
    <t>Área do subsolo</t>
  </si>
  <si>
    <t>subtotal</t>
  </si>
  <si>
    <t>REAJUSTAMENTO CONTRATUAL</t>
  </si>
  <si>
    <t>mês 17 jan 23</t>
  </si>
  <si>
    <t>mês 18 fev 23</t>
  </si>
  <si>
    <t>subsolo</t>
  </si>
  <si>
    <t>mês 18 fev 24</t>
  </si>
  <si>
    <t>SERVIÇOS EXTRAS</t>
  </si>
  <si>
    <t>5</t>
  </si>
  <si>
    <t>IMPERMEABILIZAÇÃO DE LAJE</t>
  </si>
  <si>
    <t>501</t>
  </si>
  <si>
    <t xml:space="preserve"> DEMOLIÇÃO DE ARGAMASSAS, DE FORMA MANUAL, SEM
REAPROVEITAMENTO. AF_12/2017
</t>
  </si>
  <si>
    <t>202</t>
  </si>
  <si>
    <t>TRANSPORTE MANUAL DE ARGAMASSAS E CONCRETOS ATÉ 60m</t>
  </si>
  <si>
    <t>503</t>
  </si>
  <si>
    <t>IMPERMEABILIZAÇÃO DE SUPERFÍCIE COM MANTA ASFÁLTICA, UMA
CAMADA, INCLUSIVE APLICAÇÃO DE PRIMER ASFÁLTICO, E=3MM.
AF_06/2018</t>
  </si>
  <si>
    <t>504</t>
  </si>
  <si>
    <t xml:space="preserve">TRANSPORTE COM CAMINHÃO BASCULANTE DE 6 M³, EM VIA URBANA
PAVIMENTADA, DMT ATÉ 30 KM (UNIDADE: M3XKM). AF_07/2020
</t>
  </si>
  <si>
    <t>M3xKM</t>
  </si>
  <si>
    <t>505</t>
  </si>
  <si>
    <t xml:space="preserve"> PROTEÇÃO MECÂNICA DE SUPERFICIE HORIZONTAL COM ARGAMASSA
DE CIMENTO E AREIA, TRAÇO 1:3, E=4CM. AF_06/2018
</t>
  </si>
  <si>
    <t>6</t>
  </si>
  <si>
    <t>ABERTURA DE SHAFT PARA PASSAGEM DE CABOS</t>
  </si>
  <si>
    <t>601</t>
  </si>
  <si>
    <t>PEDREIRO COM ENCARGOS COMPLEMENTARES</t>
  </si>
  <si>
    <t xml:space="preserve">h </t>
  </si>
  <si>
    <t>602</t>
  </si>
  <si>
    <t>SERVENTE COM ENCARGOS COMPLEMENTARES</t>
  </si>
  <si>
    <t>603</t>
  </si>
  <si>
    <t>DEMOLIÇÃO DE REVESTIMENTO CERÂMICO, DE FORMA MANUAL, SEM
REAPROVEITAMENTO. AF_12/2017</t>
  </si>
  <si>
    <t>604</t>
  </si>
  <si>
    <t>ROMPEDOR ELÉTRICO</t>
  </si>
  <si>
    <t>7</t>
  </si>
  <si>
    <t>SPDA - DESMONTAGENS E MONTAGENS COM REPOSIÇÃO DE ACESSÓRIOS DE FIXAÇÃO</t>
  </si>
  <si>
    <t>701</t>
  </si>
  <si>
    <t>ESPAÇADOR DE CABO DE COBRE NU SPDA</t>
  </si>
  <si>
    <t>UNID</t>
  </si>
  <si>
    <t>702</t>
  </si>
  <si>
    <t>ELETRICISTA COM ENCARGOS COMPLEMENTARES</t>
  </si>
  <si>
    <t>703</t>
  </si>
  <si>
    <t>AUXILIAR DE ELETRICISTA COM ENCARGOS COMPLEMENTARES</t>
  </si>
  <si>
    <t>704</t>
  </si>
  <si>
    <t>ACESSÓRIOS DE FIXAÇÃO DAS CHAPAS INÓX NO PARAPEITO  DA COBERTURA</t>
  </si>
  <si>
    <t>8</t>
  </si>
  <si>
    <t xml:space="preserve">LIMPEZA DA FACHADA ENVIDRAÇADA </t>
  </si>
  <si>
    <t>801</t>
  </si>
  <si>
    <t>LIMPEZA DE FACHADA ENVIDRAÇADA, COM USO DE
CADEIRINHA E PRODUTOS QUÍMICOS.</t>
  </si>
  <si>
    <t>UND</t>
  </si>
  <si>
    <t>9</t>
  </si>
  <si>
    <t>901</t>
  </si>
  <si>
    <t>MONTAGEM E DESMONTAGEM DE ANDAIME TUBULAR TIPO TORRE
(EXCLUSIVE ANDAIME E LIMPEZA). AF_11/2017</t>
  </si>
  <si>
    <t>902</t>
  </si>
  <si>
    <t>APLICAÇÃO MANUAL DE PINTURA COM TINTA LÁTEX ACRÍLICA EM TETO,
DUAS DEMÃOS. AF_06/2014</t>
  </si>
  <si>
    <t>903</t>
  </si>
  <si>
    <t>ANDAIME METÁLICO FACHADEIRO -LOCAÇÃO MENSAL EXCETO MONTAGEM , DESMONTAGEM E TELA</t>
  </si>
  <si>
    <t>M2/MÊS</t>
  </si>
  <si>
    <t>904</t>
  </si>
  <si>
    <t>PINTOR COM ENCARGOS COMPLEMENTARES</t>
  </si>
  <si>
    <t>AJUDANTE DE PINTOR COM ENCARGOS COMPLEMENTARES</t>
  </si>
  <si>
    <t>906</t>
  </si>
  <si>
    <t>L</t>
  </si>
  <si>
    <t>907</t>
  </si>
  <si>
    <t>TINTA BORRACHA CLORADA, ACABAMENTO SEMIBRILHO, QUALQUER COR</t>
  </si>
  <si>
    <t>10</t>
  </si>
  <si>
    <t>INTALAÇÕES DE SPLITS ELÉTRICA E HDRÁULICA</t>
  </si>
  <si>
    <t>1001</t>
  </si>
  <si>
    <t>1002</t>
  </si>
  <si>
    <t>AJUDANTE DE ELETRICISTA COM ENCARGOS COMPLEMENTARES</t>
  </si>
  <si>
    <t>1003</t>
  </si>
  <si>
    <t>CABO DE COBRE FLEXÍVEL ISOLADO, 2,5 MM², ANTI-CHAMA 0,6/1,0 KV,
PARA CIRCUITOS TERMINAIS - FORNECIMENTO E INSTALAÇÃO. AF_12/2015</t>
  </si>
  <si>
    <t>1004</t>
  </si>
  <si>
    <t>(COMPOSIÇÃO REPRESENTATIVA) DO SERVIÇO DE INSTALAÇÃO DE TUBOS DE PVC, SOLDÁVEL, ÁGUA FRIA, DN 40 MM (INSTALADO EM PRUMADA), INCLUSIVE CONEXÕES, CORTES E FIXAÇÕES, PARA PRÉDIOS. AF_10/2015</t>
  </si>
  <si>
    <t>1005</t>
  </si>
  <si>
    <t>RASGO E CHUMBAMENTO EM ALVENARIA PARA TUBOS DE SPLIT PAREDE
DE 9000 A 24000 BTUS/H. AF_11/2021</t>
  </si>
  <si>
    <t>1006</t>
  </si>
  <si>
    <t>1007</t>
  </si>
  <si>
    <t>FORNECIMENTO E INSTALAÇÃO DE BOMBA DE DRENO PARA O SPLITs -TCE</t>
  </si>
  <si>
    <t>1008</t>
  </si>
  <si>
    <t>TUBO PVC, SERIE NORMAL, ESGOTO PREDIAL, DN 40 MM, FORNECIDO E INSTALADO EM RAMAL DE DESCARGA OU RAMAL DE ESGOTO SANITÁRIO. AF_08/2022</t>
  </si>
  <si>
    <t>1009</t>
  </si>
  <si>
    <t>FORNECIMENTO E INSTALAÇÃO DE TUBULAÇÃO EM COBRE P/ INTERLIGAÇÃO DO CONDENSADOR AO EVAPORADOR , INCLUSIVE ISOLAMENTO, ALIMENTAÇÃO ELÉTRICA , CONEXÕES E FIXAÇÕES P/ CONDICIONADORES DE AR SPLIT ATÉ 48.000 BTU</t>
  </si>
  <si>
    <t>1010</t>
  </si>
  <si>
    <t xml:space="preserve">REMOÇÃO DE ARCONDICIONADO TIPO SPLIT </t>
  </si>
  <si>
    <t>1011</t>
  </si>
  <si>
    <t>INSTALAÇÃO DE AR CONDICIONADO SPLIT(EVAPORADORA E CONDENSADORA), HI-WALL(PAREDE) , DE 12.000 BTU/H ATÉ 18.000BTU/H</t>
  </si>
  <si>
    <t>11</t>
  </si>
  <si>
    <t>ADMINISTAÇÃO LOCAL</t>
  </si>
  <si>
    <t>1101</t>
  </si>
  <si>
    <t>12</t>
  </si>
  <si>
    <t>PRÉ MOLDADO</t>
  </si>
  <si>
    <t>1201</t>
  </si>
  <si>
    <t>PLACA DE CONCRETO PRÉ-MOLDADO COMO PROTEÇÃO MECÂNICA ADICIONAL NO REATERRO PARA REDE ENTERRADA DE DISTRIBUIÇÃO DE ENERGIA ELÉTRICA - FORNECIMENTO E INSTALAÇÃO. AF_12/2021</t>
  </si>
  <si>
    <t>13</t>
  </si>
  <si>
    <t>ENSAIOS -ADEQUADOS A NORMA DA ABNT</t>
  </si>
  <si>
    <t>1301</t>
  </si>
  <si>
    <t>ENSAIOS DE TESTES DE ADERENCIAS DO EMBOÇO E PASTILHAS - 17UNIDADES</t>
  </si>
  <si>
    <t>14</t>
  </si>
  <si>
    <t>FORRO</t>
  </si>
  <si>
    <t>1401</t>
  </si>
  <si>
    <t>FORRO EM DRYWALL, PARA AMBIENTES COMERCIAIS, INCLUSIVE
ESTRUTURA DE FIXAÇÃO. AF_05/2017_PS</t>
  </si>
  <si>
    <t>MÊS 19
dezembro de 2022</t>
  </si>
  <si>
    <t>BOLETIM DE MEDIÇÃO BM19 - 01 A 24 DE MARÇO DE 2023</t>
  </si>
  <si>
    <t>TINTA ESMALTE SINTETICO STANDARD ACETINADO</t>
  </si>
  <si>
    <t>TUBO, PVC, SOLDÁVEL, DN 20 MM, INSTALADO EM DRENO DE AR CONDICIONADO - FORNECIMENTO E INSTALAÇÃO. AF_08/2022 ICLUSO A PROTEÇÃO "EXPONJOSO"</t>
  </si>
</sst>
</file>

<file path=xl/styles.xml><?xml version="1.0" encoding="utf-8"?>
<styleSheet xmlns="http://schemas.openxmlformats.org/spreadsheetml/2006/main">
  <numFmts count="22">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 numFmtId="181" formatCode="_-* #,##0.000_-;\-* #,##0.000_-;_-* &quot;-&quot;???_-;_-@_-"/>
  </numFmts>
  <fonts count="66">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sz val="11"/>
      <color theme="1"/>
      <name val="Arial Narrow"/>
      <family val="2"/>
    </font>
    <font>
      <b/>
      <sz val="11"/>
      <color rgb="FF000000"/>
      <name val="Arial Narrow"/>
      <family val="2"/>
    </font>
    <font>
      <b/>
      <sz val="10"/>
      <name val="Times New Roman"/>
      <family val="1"/>
    </font>
    <font>
      <b/>
      <sz val="10"/>
      <name val="Calibri"/>
      <family val="1"/>
    </font>
    <font>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8"/>
      <name val="Arial"/>
      <family val="2"/>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name val="Calibri"/>
      <family val="2"/>
      <scheme val="minor"/>
    </font>
    <font>
      <sz val="8"/>
      <color theme="1"/>
      <name val="Calibri"/>
      <family val="2"/>
      <scheme val="minor"/>
    </font>
    <font>
      <sz val="10"/>
      <color theme="0"/>
      <name val="Arial Narrow"/>
      <family val="2"/>
    </font>
    <font>
      <sz val="9"/>
      <color theme="1"/>
      <name val="Calibri"/>
      <family val="2"/>
      <scheme val="minor"/>
    </font>
    <font>
      <sz val="11"/>
      <color indexed="8"/>
      <name val="Arial"/>
      <family val="2"/>
    </font>
    <font>
      <b/>
      <sz val="9"/>
      <color theme="1"/>
      <name val="Calibri"/>
      <family val="2"/>
      <scheme val="minor"/>
    </font>
  </fonts>
  <fills count="28">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right style="medium">
        <color indexed="64"/>
      </right>
      <top style="medium">
        <color indexed="64"/>
      </top>
      <bottom/>
      <diagonal/>
    </border>
    <border>
      <left/>
      <right style="medium">
        <color indexed="64"/>
      </right>
      <top/>
      <bottom style="thin">
        <color auto="1"/>
      </bottom>
      <diagonal/>
    </border>
    <border>
      <left style="medium">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s>
  <cellStyleXfs count="124">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5"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cellStyleXfs>
  <cellXfs count="403">
    <xf numFmtId="0" fontId="0" fillId="0" borderId="0" xfId="0"/>
    <xf numFmtId="0" fontId="30" fillId="0" borderId="0" xfId="0" applyFont="1" applyAlignment="1">
      <alignment horizontal="center" vertical="center"/>
    </xf>
    <xf numFmtId="0" fontId="30" fillId="0" borderId="0" xfId="0" applyFont="1" applyAlignment="1">
      <alignment horizontal="center"/>
    </xf>
    <xf numFmtId="0" fontId="29" fillId="0" borderId="0" xfId="0" applyFont="1" applyAlignment="1">
      <alignment vertical="center"/>
    </xf>
    <xf numFmtId="0" fontId="30" fillId="0" borderId="0" xfId="0" applyFont="1" applyAlignment="1">
      <alignment vertical="center"/>
    </xf>
    <xf numFmtId="0" fontId="38" fillId="0" borderId="0" xfId="0" applyFont="1"/>
    <xf numFmtId="0" fontId="30" fillId="0" borderId="0" xfId="0" applyFont="1"/>
    <xf numFmtId="0" fontId="38" fillId="0" borderId="0" xfId="0" applyFont="1" applyAlignment="1">
      <alignment horizontal="center"/>
    </xf>
    <xf numFmtId="0" fontId="38" fillId="0" borderId="0" xfId="3" applyFont="1"/>
    <xf numFmtId="0" fontId="38" fillId="0" borderId="0" xfId="3" applyFont="1" applyAlignment="1">
      <alignment horizont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0" fontId="30" fillId="0" borderId="0" xfId="3" applyFont="1"/>
    <xf numFmtId="0" fontId="29" fillId="21" borderId="0" xfId="3" applyFont="1" applyFill="1" applyAlignment="1">
      <alignment horizontal="center"/>
    </xf>
    <xf numFmtId="10" fontId="29" fillId="21" borderId="0" xfId="3" applyNumberFormat="1" applyFont="1" applyFill="1" applyAlignment="1">
      <alignment horizontal="center"/>
    </xf>
    <xf numFmtId="0" fontId="30" fillId="0" borderId="0" xfId="3" applyFont="1" applyAlignment="1">
      <alignment horizontal="center"/>
    </xf>
    <xf numFmtId="10" fontId="30" fillId="0" borderId="0" xfId="3" applyNumberFormat="1" applyFont="1" applyAlignment="1">
      <alignment horizontal="center"/>
    </xf>
    <xf numFmtId="0" fontId="4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xf>
    <xf numFmtId="0" fontId="31" fillId="0" borderId="0" xfId="0" applyFont="1" applyAlignment="1">
      <alignment vertical="center"/>
    </xf>
    <xf numFmtId="43" fontId="30" fillId="0" borderId="0" xfId="116" applyFont="1" applyAlignment="1">
      <alignment vertical="center"/>
    </xf>
    <xf numFmtId="0" fontId="29" fillId="0" borderId="12" xfId="0" applyFont="1" applyBorder="1" applyAlignment="1">
      <alignment vertical="center"/>
    </xf>
    <xf numFmtId="177" fontId="44" fillId="24" borderId="0" xfId="119" applyNumberFormat="1" applyFont="1" applyFill="1" applyBorder="1" applyAlignment="1">
      <alignment horizontal="center" vertical="center"/>
    </xf>
    <xf numFmtId="177" fontId="49" fillId="24" borderId="0" xfId="0" applyNumberFormat="1" applyFont="1" applyFill="1" applyAlignment="1">
      <alignment vertical="center"/>
    </xf>
    <xf numFmtId="4" fontId="48" fillId="24" borderId="0" xfId="121" applyNumberFormat="1" applyFont="1" applyFill="1" applyBorder="1" applyAlignment="1">
      <alignment horizontal="center" vertical="center"/>
    </xf>
    <xf numFmtId="177" fontId="49" fillId="24" borderId="14" xfId="0" applyNumberFormat="1" applyFont="1" applyFill="1" applyBorder="1" applyAlignment="1">
      <alignment vertical="center"/>
    </xf>
    <xf numFmtId="177" fontId="49" fillId="24" borderId="14" xfId="0" applyNumberFormat="1" applyFont="1" applyFill="1" applyBorder="1" applyAlignment="1">
      <alignment horizontal="center" vertical="center"/>
    </xf>
    <xf numFmtId="177" fontId="49" fillId="24" borderId="14" xfId="122" applyNumberFormat="1" applyFont="1" applyFill="1" applyBorder="1" applyAlignment="1">
      <alignment horizontal="center" vertical="center"/>
    </xf>
    <xf numFmtId="177" fontId="49" fillId="24" borderId="14" xfId="120" applyNumberFormat="1" applyFont="1" applyFill="1" applyBorder="1" applyAlignment="1">
      <alignment horizontal="center" vertical="center"/>
    </xf>
    <xf numFmtId="177" fontId="49" fillId="24" borderId="13" xfId="0" applyNumberFormat="1" applyFont="1" applyFill="1" applyBorder="1" applyAlignment="1">
      <alignment vertical="center"/>
    </xf>
    <xf numFmtId="177" fontId="44" fillId="24" borderId="12" xfId="0" applyNumberFormat="1" applyFont="1" applyFill="1" applyBorder="1" applyAlignment="1">
      <alignment vertical="center"/>
    </xf>
    <xf numFmtId="177" fontId="44" fillId="24" borderId="0" xfId="0" applyNumberFormat="1" applyFont="1" applyFill="1" applyAlignment="1">
      <alignment vertical="center"/>
    </xf>
    <xf numFmtId="177" fontId="44" fillId="24" borderId="0" xfId="0" applyNumberFormat="1" applyFont="1" applyFill="1" applyAlignment="1">
      <alignment horizontal="center" vertical="center"/>
    </xf>
    <xf numFmtId="177" fontId="44" fillId="24" borderId="15" xfId="0" applyNumberFormat="1" applyFont="1" applyFill="1" applyBorder="1" applyAlignment="1">
      <alignment horizontal="center" vertical="center"/>
    </xf>
    <xf numFmtId="177" fontId="49" fillId="24" borderId="12" xfId="0" applyNumberFormat="1" applyFont="1" applyFill="1" applyBorder="1" applyAlignment="1">
      <alignment vertical="center"/>
    </xf>
    <xf numFmtId="177" fontId="49" fillId="24" borderId="0" xfId="120" applyNumberFormat="1" applyFont="1" applyFill="1" applyBorder="1" applyAlignment="1">
      <alignment horizontal="center" vertical="center"/>
    </xf>
    <xf numFmtId="177" fontId="49" fillId="24" borderId="15" xfId="0" applyNumberFormat="1" applyFont="1" applyFill="1" applyBorder="1" applyAlignment="1">
      <alignment horizontal="center" vertical="center"/>
    </xf>
    <xf numFmtId="177" fontId="48"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4" fillId="24" borderId="15" xfId="0" applyNumberFormat="1" applyFont="1" applyFill="1" applyBorder="1" applyAlignment="1">
      <alignment vertical="center"/>
    </xf>
    <xf numFmtId="177" fontId="47" fillId="24" borderId="12" xfId="0" applyNumberFormat="1" applyFont="1" applyFill="1" applyBorder="1" applyAlignment="1">
      <alignment horizontal="left" vertical="center" wrapText="1"/>
    </xf>
    <xf numFmtId="177" fontId="48" fillId="24" borderId="0" xfId="0" quotePrefix="1" applyNumberFormat="1" applyFont="1" applyFill="1" applyAlignment="1">
      <alignment horizontal="center" vertical="center"/>
    </xf>
    <xf numFmtId="177" fontId="48" fillId="24" borderId="15" xfId="0" quotePrefix="1" applyNumberFormat="1" applyFont="1" applyFill="1" applyBorder="1" applyAlignment="1">
      <alignment horizontal="center" vertical="center"/>
    </xf>
    <xf numFmtId="177" fontId="48" fillId="24" borderId="0" xfId="0" applyNumberFormat="1" applyFont="1" applyFill="1" applyAlignment="1">
      <alignment horizontal="center" vertical="center"/>
    </xf>
    <xf numFmtId="177" fontId="49" fillId="24" borderId="10" xfId="0" applyNumberFormat="1" applyFont="1" applyFill="1" applyBorder="1" applyAlignment="1">
      <alignment vertical="center"/>
    </xf>
    <xf numFmtId="177" fontId="49" fillId="24" borderId="13" xfId="0" applyNumberFormat="1" applyFont="1" applyFill="1" applyBorder="1" applyAlignment="1">
      <alignment horizontal="center" vertical="center"/>
    </xf>
    <xf numFmtId="177" fontId="49" fillId="24" borderId="13" xfId="120" applyNumberFormat="1" applyFont="1" applyFill="1" applyBorder="1" applyAlignment="1">
      <alignment horizontal="center" vertical="center"/>
    </xf>
    <xf numFmtId="177" fontId="48" fillId="24" borderId="13" xfId="0" applyNumberFormat="1" applyFont="1" applyFill="1" applyBorder="1" applyAlignment="1">
      <alignment horizontal="center" vertical="center"/>
    </xf>
    <xf numFmtId="177" fontId="49" fillId="24" borderId="11" xfId="0" applyNumberFormat="1" applyFont="1" applyFill="1" applyBorder="1" applyAlignment="1">
      <alignment horizontal="center" vertical="center"/>
    </xf>
    <xf numFmtId="177" fontId="49" fillId="24" borderId="0" xfId="0" applyNumberFormat="1" applyFont="1" applyFill="1" applyAlignment="1">
      <alignment horizontal="center" vertical="center"/>
    </xf>
    <xf numFmtId="177" fontId="47" fillId="24" borderId="0" xfId="0" applyNumberFormat="1" applyFont="1" applyFill="1" applyAlignment="1">
      <alignment horizontal="center" vertical="center" wrapText="1"/>
    </xf>
    <xf numFmtId="177" fontId="49" fillId="24" borderId="12" xfId="0" applyNumberFormat="1" applyFont="1" applyFill="1" applyBorder="1" applyAlignment="1">
      <alignment horizontal="left" vertical="center" wrapText="1"/>
    </xf>
    <xf numFmtId="4" fontId="46" fillId="25" borderId="20" xfId="118" applyNumberFormat="1" applyFont="1" applyFill="1" applyBorder="1" applyAlignment="1" applyProtection="1">
      <alignment horizontal="center" vertical="center"/>
      <protection locked="0"/>
    </xf>
    <xf numFmtId="4" fontId="46" fillId="25" borderId="21" xfId="118" applyNumberFormat="1" applyFont="1" applyFill="1" applyBorder="1" applyAlignment="1" applyProtection="1">
      <alignment horizontal="center" vertical="center"/>
      <protection locked="0"/>
    </xf>
    <xf numFmtId="4" fontId="46" fillId="25" borderId="22" xfId="118" applyNumberFormat="1" applyFont="1" applyFill="1" applyBorder="1" applyAlignment="1" applyProtection="1">
      <alignment horizontal="center" vertical="center"/>
      <protection locked="0"/>
    </xf>
    <xf numFmtId="3" fontId="49"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9" fillId="21" borderId="23" xfId="0" quotePrefix="1" applyNumberFormat="1" applyFont="1" applyFill="1" applyBorder="1" applyAlignment="1">
      <alignment horizontal="left" vertical="center"/>
    </xf>
    <xf numFmtId="177" fontId="49" fillId="21" borderId="17" xfId="0"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0" fontId="0" fillId="0" borderId="12" xfId="0" applyBorder="1"/>
    <xf numFmtId="177" fontId="47" fillId="24" borderId="19" xfId="0" applyNumberFormat="1" applyFont="1" applyFill="1" applyBorder="1" applyAlignment="1">
      <alignment horizontal="center" vertical="center" wrapText="1"/>
    </xf>
    <xf numFmtId="177" fontId="47"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9"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7" fillId="24" borderId="19" xfId="0" applyNumberFormat="1" applyFont="1" applyFill="1" applyBorder="1" applyAlignment="1">
      <alignment horizontal="left" vertical="center" wrapText="1"/>
    </xf>
    <xf numFmtId="4" fontId="47" fillId="24" borderId="19" xfId="0" applyNumberFormat="1" applyFont="1" applyFill="1" applyBorder="1" applyAlignment="1">
      <alignment horizontal="center" vertical="center" wrapText="1"/>
    </xf>
    <xf numFmtId="177" fontId="48" fillId="24" borderId="20" xfId="0" applyNumberFormat="1" applyFont="1" applyFill="1" applyBorder="1" applyAlignment="1">
      <alignment vertical="center"/>
    </xf>
    <xf numFmtId="177" fontId="49" fillId="24" borderId="16" xfId="0" applyNumberFormat="1" applyFont="1" applyFill="1" applyBorder="1" applyAlignment="1">
      <alignment vertical="center"/>
    </xf>
    <xf numFmtId="177" fontId="49" fillId="24" borderId="16" xfId="0" applyNumberFormat="1" applyFont="1" applyFill="1" applyBorder="1" applyAlignment="1">
      <alignment horizontal="center" vertical="center"/>
    </xf>
    <xf numFmtId="177" fontId="49" fillId="24" borderId="16" xfId="122" applyNumberFormat="1" applyFont="1" applyFill="1" applyBorder="1" applyAlignment="1">
      <alignment horizontal="center" vertical="center"/>
    </xf>
    <xf numFmtId="177" fontId="49" fillId="24" borderId="16" xfId="120" applyNumberFormat="1" applyFont="1" applyFill="1" applyBorder="1" applyAlignment="1">
      <alignment horizontal="center" vertical="center"/>
    </xf>
    <xf numFmtId="177" fontId="49" fillId="24" borderId="22" xfId="0" applyNumberFormat="1" applyFont="1" applyFill="1" applyBorder="1" applyAlignment="1">
      <alignment horizontal="center" vertical="center"/>
    </xf>
    <xf numFmtId="177" fontId="47" fillId="24" borderId="23" xfId="0" applyNumberFormat="1" applyFont="1" applyFill="1" applyBorder="1" applyAlignment="1">
      <alignment horizontal="center" vertical="center" wrapText="1"/>
    </xf>
    <xf numFmtId="177" fontId="47" fillId="24" borderId="17" xfId="0" applyNumberFormat="1" applyFont="1" applyFill="1" applyBorder="1" applyAlignment="1">
      <alignment horizontal="center" vertical="center" wrapText="1"/>
    </xf>
    <xf numFmtId="4" fontId="48" fillId="24" borderId="19" xfId="121" applyNumberFormat="1" applyFont="1" applyFill="1" applyBorder="1" applyAlignment="1">
      <alignment horizontal="center" vertical="center"/>
    </xf>
    <xf numFmtId="4" fontId="52"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177" fontId="44" fillId="24" borderId="0" xfId="0" applyNumberFormat="1" applyFont="1" applyFill="1" applyAlignment="1">
      <alignment horizontal="right" vertical="center"/>
    </xf>
    <xf numFmtId="177" fontId="53" fillId="24" borderId="0" xfId="0" applyNumberFormat="1" applyFont="1" applyFill="1" applyAlignment="1">
      <alignment vertical="center"/>
    </xf>
    <xf numFmtId="0" fontId="32" fillId="0" borderId="12" xfId="0" applyFont="1" applyBorder="1" applyAlignment="1">
      <alignment horizontal="center" vertical="center" wrapText="1"/>
    </xf>
    <xf numFmtId="43" fontId="30" fillId="0" borderId="21" xfId="116" applyFont="1" applyBorder="1" applyAlignment="1">
      <alignment vertical="center"/>
    </xf>
    <xf numFmtId="43" fontId="43" fillId="21" borderId="25" xfId="116" applyFont="1" applyFill="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29" fillId="0" borderId="21" xfId="0" applyFont="1" applyBorder="1" applyAlignment="1">
      <alignment horizontal="left" vertical="center"/>
    </xf>
    <xf numFmtId="0" fontId="29" fillId="0" borderId="21" xfId="0" applyFont="1" applyBorder="1" applyAlignment="1">
      <alignment horizontal="center" vertical="center"/>
    </xf>
    <xf numFmtId="2" fontId="29" fillId="0" borderId="21" xfId="0" applyNumberFormat="1" applyFont="1" applyBorder="1" applyAlignment="1">
      <alignment horizontal="center" vertical="center"/>
    </xf>
    <xf numFmtId="44" fontId="29" fillId="0" borderId="21" xfId="1" applyFont="1" applyBorder="1" applyAlignment="1">
      <alignment horizontal="center" vertical="center"/>
    </xf>
    <xf numFmtId="10" fontId="29" fillId="0" borderId="21" xfId="1" applyNumberFormat="1" applyFont="1" applyBorder="1" applyAlignment="1">
      <alignment horizontal="center" vertical="center"/>
    </xf>
    <xf numFmtId="0" fontId="30" fillId="0" borderId="21" xfId="0" applyFont="1" applyBorder="1" applyAlignment="1">
      <alignment vertical="center"/>
    </xf>
    <xf numFmtId="0" fontId="30" fillId="0" borderId="26" xfId="0" applyFont="1" applyBorder="1" applyAlignment="1">
      <alignment vertical="center"/>
    </xf>
    <xf numFmtId="0" fontId="43" fillId="21" borderId="25" xfId="0"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0" fontId="35" fillId="0" borderId="25" xfId="0" applyFont="1" applyBorder="1" applyAlignment="1">
      <alignment horizontal="left" vertical="center" wrapText="1"/>
    </xf>
    <xf numFmtId="43" fontId="31" fillId="0" borderId="25" xfId="116" applyFont="1" applyFill="1" applyBorder="1" applyAlignment="1">
      <alignment horizontal="center" vertical="center" wrapText="1"/>
    </xf>
    <xf numFmtId="43" fontId="31" fillId="0" borderId="0" xfId="116" applyFont="1" applyBorder="1" applyAlignment="1">
      <alignment vertical="center"/>
    </xf>
    <xf numFmtId="177" fontId="49" fillId="24" borderId="0" xfId="122" applyNumberFormat="1" applyFont="1" applyFill="1" applyBorder="1" applyAlignment="1">
      <alignment horizontal="center" vertical="center"/>
    </xf>
    <xf numFmtId="177" fontId="49" fillId="24" borderId="27" xfId="0" applyNumberFormat="1" applyFont="1" applyFill="1" applyBorder="1" applyAlignment="1">
      <alignment vertical="center"/>
    </xf>
    <xf numFmtId="177" fontId="49" fillId="24" borderId="26" xfId="0" applyNumberFormat="1" applyFont="1" applyFill="1" applyBorder="1" applyAlignment="1">
      <alignment horizontal="center" vertical="center"/>
    </xf>
    <xf numFmtId="177" fontId="47" fillId="24" borderId="25" xfId="0"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9"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7" fillId="24" borderId="31" xfId="0" applyNumberFormat="1" applyFont="1" applyFill="1" applyBorder="1" applyAlignment="1">
      <alignment horizontal="center" vertical="center" wrapText="1"/>
    </xf>
    <xf numFmtId="177" fontId="47" fillId="24" borderId="24" xfId="0" applyNumberFormat="1" applyFont="1" applyFill="1" applyBorder="1" applyAlignment="1">
      <alignment horizontal="center" vertical="center" wrapText="1"/>
    </xf>
    <xf numFmtId="177" fontId="47" fillId="24" borderId="25" xfId="0" applyNumberFormat="1" applyFont="1" applyFill="1" applyBorder="1" applyAlignment="1">
      <alignment horizontal="left" vertical="center" wrapText="1"/>
    </xf>
    <xf numFmtId="4" fontId="47" fillId="24" borderId="25" xfId="0" applyNumberFormat="1" applyFont="1" applyFill="1" applyBorder="1" applyAlignment="1">
      <alignment horizontal="center" vertical="center" wrapText="1"/>
    </xf>
    <xf numFmtId="177" fontId="48" fillId="24" borderId="27" xfId="0" applyNumberFormat="1" applyFont="1" applyFill="1" applyBorder="1" applyAlignment="1">
      <alignment vertical="center"/>
    </xf>
    <xf numFmtId="177" fontId="48" fillId="24" borderId="0" xfId="0" quotePrefix="1" applyNumberFormat="1" applyFont="1" applyFill="1" applyAlignment="1">
      <alignment horizontal="left" vertical="center"/>
    </xf>
    <xf numFmtId="3" fontId="49" fillId="24" borderId="12" xfId="0" applyNumberFormat="1" applyFont="1" applyFill="1" applyBorder="1" applyAlignment="1">
      <alignment horizontal="center" vertical="center" wrapText="1"/>
    </xf>
    <xf numFmtId="3" fontId="49" fillId="24" borderId="25" xfId="0" applyNumberFormat="1" applyFont="1" applyFill="1" applyBorder="1" applyAlignment="1">
      <alignment horizontal="center" vertical="center" wrapText="1"/>
    </xf>
    <xf numFmtId="0" fontId="31" fillId="0" borderId="0" xfId="0" quotePrefix="1" applyFont="1" applyAlignment="1">
      <alignment vertical="center"/>
    </xf>
    <xf numFmtId="0" fontId="29" fillId="0" borderId="21" xfId="0" quotePrefix="1" applyFont="1" applyBorder="1" applyAlignment="1">
      <alignment horizontal="left" vertical="center"/>
    </xf>
    <xf numFmtId="177" fontId="55" fillId="24" borderId="19" xfId="121"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23" fillId="24" borderId="0" xfId="0" applyNumberFormat="1" applyFont="1" applyFill="1" applyAlignment="1">
      <alignment horizontal="left" vertical="center" wrapText="1"/>
    </xf>
    <xf numFmtId="177" fontId="47" fillId="24" borderId="0" xfId="0" applyNumberFormat="1" applyFont="1" applyFill="1" applyAlignment="1">
      <alignment horizontal="left" vertical="center" wrapText="1"/>
    </xf>
    <xf numFmtId="4" fontId="47" fillId="24" borderId="0" xfId="0" applyNumberFormat="1" applyFont="1" applyFill="1" applyAlignment="1">
      <alignment horizontal="center" vertical="center" wrapText="1"/>
    </xf>
    <xf numFmtId="43" fontId="30" fillId="0" borderId="32" xfId="116" applyFont="1" applyBorder="1" applyAlignment="1">
      <alignment vertical="center"/>
    </xf>
    <xf numFmtId="0" fontId="56" fillId="0" borderId="25" xfId="0" applyFont="1" applyBorder="1" applyAlignment="1">
      <alignment horizontal="center"/>
    </xf>
    <xf numFmtId="0" fontId="56"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43" fontId="31" fillId="0" borderId="33"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17" fontId="0" fillId="0" borderId="25" xfId="0" applyNumberFormat="1" applyBorder="1"/>
    <xf numFmtId="43" fontId="0" fillId="0" borderId="0" xfId="0" applyNumberFormat="1"/>
    <xf numFmtId="43" fontId="0" fillId="0" borderId="25" xfId="0" applyNumberFormat="1" applyBorder="1" applyAlignment="1">
      <alignment horizontal="center" vertical="center"/>
    </xf>
    <xf numFmtId="43" fontId="30" fillId="0" borderId="33" xfId="116" applyFont="1" applyBorder="1" applyAlignment="1">
      <alignment vertical="center"/>
    </xf>
    <xf numFmtId="43" fontId="31" fillId="0" borderId="33" xfId="116" applyFont="1" applyBorder="1" applyAlignment="1">
      <alignment vertical="center"/>
    </xf>
    <xf numFmtId="43" fontId="0" fillId="0" borderId="25" xfId="0" applyNumberFormat="1" applyBorder="1"/>
    <xf numFmtId="177" fontId="57" fillId="24" borderId="19" xfId="0" applyNumberFormat="1" applyFont="1" applyFill="1" applyBorder="1" applyAlignment="1">
      <alignment horizontal="center" vertical="center" wrapText="1"/>
    </xf>
    <xf numFmtId="17" fontId="0" fillId="0" borderId="25" xfId="0" applyNumberFormat="1" applyBorder="1" applyAlignment="1">
      <alignment horizontal="center" vertical="center"/>
    </xf>
    <xf numFmtId="43" fontId="31" fillId="2" borderId="25" xfId="116" applyFont="1" applyFill="1" applyBorder="1" applyAlignment="1">
      <alignment vertical="center"/>
    </xf>
    <xf numFmtId="43" fontId="32" fillId="2" borderId="25" xfId="116" applyFont="1" applyFill="1" applyBorder="1" applyAlignment="1">
      <alignment vertical="center"/>
    </xf>
    <xf numFmtId="43" fontId="0" fillId="0" borderId="25" xfId="0" applyNumberFormat="1" applyBorder="1" applyAlignment="1">
      <alignment vertical="center"/>
    </xf>
    <xf numFmtId="43" fontId="44" fillId="24" borderId="0" xfId="116" applyFont="1" applyFill="1" applyBorder="1" applyAlignment="1">
      <alignment vertical="center"/>
    </xf>
    <xf numFmtId="177" fontId="44" fillId="24" borderId="25" xfId="0" applyNumberFormat="1" applyFont="1" applyFill="1" applyBorder="1" applyAlignment="1">
      <alignment horizontal="center" vertical="center"/>
    </xf>
    <xf numFmtId="0" fontId="58" fillId="0" borderId="0" xfId="0" applyFont="1"/>
    <xf numFmtId="0" fontId="58" fillId="0" borderId="25" xfId="0" applyFont="1" applyBorder="1"/>
    <xf numFmtId="17" fontId="58" fillId="0" borderId="25" xfId="0" applyNumberFormat="1" applyFont="1" applyBorder="1"/>
    <xf numFmtId="177" fontId="59" fillId="24" borderId="25" xfId="0" applyNumberFormat="1" applyFont="1" applyFill="1" applyBorder="1" applyAlignment="1">
      <alignment horizontal="center" vertical="center"/>
    </xf>
    <xf numFmtId="43" fontId="31" fillId="2" borderId="33" xfId="116" applyFont="1" applyFill="1" applyBorder="1" applyAlignment="1">
      <alignment vertical="center"/>
    </xf>
    <xf numFmtId="43" fontId="31" fillId="2" borderId="33" xfId="116" applyFont="1" applyFill="1" applyBorder="1" applyAlignment="1">
      <alignment horizontal="center" vertical="center"/>
    </xf>
    <xf numFmtId="43" fontId="30" fillId="2" borderId="32" xfId="116" applyFont="1" applyFill="1" applyBorder="1" applyAlignment="1">
      <alignment vertical="center"/>
    </xf>
    <xf numFmtId="177" fontId="44" fillId="24" borderId="25" xfId="0" applyNumberFormat="1" applyFont="1" applyFill="1" applyBorder="1" applyAlignment="1">
      <alignment horizontal="center"/>
    </xf>
    <xf numFmtId="4" fontId="44" fillId="24" borderId="25" xfId="0" applyNumberFormat="1" applyFont="1" applyFill="1" applyBorder="1"/>
    <xf numFmtId="43" fontId="0" fillId="0" borderId="0" xfId="116"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177" fontId="2" fillId="24" borderId="0" xfId="0" applyNumberFormat="1" applyFont="1" applyFill="1" applyAlignment="1">
      <alignment horizontal="center" vertical="center" wrapText="1"/>
    </xf>
    <xf numFmtId="4" fontId="23" fillId="24" borderId="0" xfId="0" applyNumberFormat="1" applyFont="1" applyFill="1" applyAlignment="1">
      <alignment horizontal="center" vertical="center" wrapText="1"/>
    </xf>
    <xf numFmtId="177" fontId="51" fillId="24" borderId="0" xfId="0" applyNumberFormat="1" applyFont="1" applyFill="1" applyAlignment="1">
      <alignment horizontal="center" vertical="center" wrapText="1"/>
    </xf>
    <xf numFmtId="0" fontId="0" fillId="0" borderId="25" xfId="0" applyBorder="1" applyAlignment="1">
      <alignment horizontal="center"/>
    </xf>
    <xf numFmtId="0" fontId="56" fillId="27" borderId="25" xfId="0" applyFont="1" applyFill="1" applyBorder="1" applyAlignment="1">
      <alignment horizontal="center"/>
    </xf>
    <xf numFmtId="0" fontId="56" fillId="27" borderId="25" xfId="0" applyFont="1" applyFill="1" applyBorder="1" applyAlignment="1">
      <alignment horizontal="center" vertical="center"/>
    </xf>
    <xf numFmtId="49" fontId="44" fillId="24" borderId="0" xfId="0" applyNumberFormat="1" applyFont="1" applyFill="1" applyAlignment="1">
      <alignment horizontal="center" vertical="center"/>
    </xf>
    <xf numFmtId="43" fontId="44" fillId="24" borderId="25" xfId="116" applyFont="1" applyFill="1" applyBorder="1" applyAlignment="1">
      <alignment horizontal="center" vertical="center" wrapText="1"/>
    </xf>
    <xf numFmtId="177" fontId="44" fillId="24" borderId="25" xfId="0" applyNumberFormat="1" applyFont="1" applyFill="1" applyBorder="1" applyAlignment="1">
      <alignment vertical="center" wrapText="1"/>
    </xf>
    <xf numFmtId="4" fontId="44" fillId="24" borderId="25" xfId="0" applyNumberFormat="1" applyFont="1" applyFill="1" applyBorder="1" applyAlignment="1">
      <alignment vertical="center"/>
    </xf>
    <xf numFmtId="177" fontId="2" fillId="24" borderId="25"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horizontal="center" wrapText="1"/>
    </xf>
    <xf numFmtId="177" fontId="47" fillId="24" borderId="0" xfId="0" applyNumberFormat="1" applyFont="1" applyFill="1" applyAlignment="1">
      <alignment vertical="center" wrapText="1"/>
    </xf>
    <xf numFmtId="177" fontId="57" fillId="24" borderId="25" xfId="0" applyNumberFormat="1" applyFont="1" applyFill="1" applyBorder="1" applyAlignment="1">
      <alignment horizontal="left" vertical="center" wrapText="1"/>
    </xf>
    <xf numFmtId="17" fontId="60" fillId="0" borderId="25" xfId="0" applyNumberFormat="1" applyFont="1" applyBorder="1"/>
    <xf numFmtId="43" fontId="60" fillId="0" borderId="25" xfId="0" applyNumberFormat="1" applyFont="1" applyBorder="1"/>
    <xf numFmtId="0" fontId="0" fillId="0" borderId="15" xfId="0" applyBorder="1"/>
    <xf numFmtId="43" fontId="0" fillId="0" borderId="25" xfId="116" applyFont="1" applyBorder="1"/>
    <xf numFmtId="17" fontId="60" fillId="0" borderId="25" xfId="0" applyNumberFormat="1" applyFont="1" applyBorder="1" applyAlignment="1">
      <alignment horizontal="center" vertical="center"/>
    </xf>
    <xf numFmtId="43" fontId="0" fillId="2" borderId="25" xfId="0" applyNumberFormat="1" applyFill="1" applyBorder="1"/>
    <xf numFmtId="43" fontId="30" fillId="0" borderId="32" xfId="116" applyFont="1" applyFill="1" applyBorder="1" applyAlignment="1">
      <alignment vertical="center"/>
    </xf>
    <xf numFmtId="43" fontId="31" fillId="0" borderId="33" xfId="116" applyFont="1" applyFill="1" applyBorder="1" applyAlignment="1">
      <alignment horizontal="center" vertical="center"/>
    </xf>
    <xf numFmtId="177" fontId="5" fillId="24" borderId="12" xfId="0" applyNumberFormat="1" applyFont="1" applyFill="1" applyBorder="1" applyAlignment="1">
      <alignment vertical="center"/>
    </xf>
    <xf numFmtId="0" fontId="61" fillId="0" borderId="25" xfId="0" applyFont="1" applyBorder="1" applyAlignment="1">
      <alignment wrapText="1"/>
    </xf>
    <xf numFmtId="4" fontId="47" fillId="0" borderId="19" xfId="0" applyNumberFormat="1" applyFont="1" applyBorder="1" applyAlignment="1">
      <alignment horizontal="center" vertical="center" wrapText="1"/>
    </xf>
    <xf numFmtId="177" fontId="5" fillId="24" borderId="0" xfId="0" applyNumberFormat="1" applyFont="1" applyFill="1" applyAlignment="1">
      <alignment vertical="center"/>
    </xf>
    <xf numFmtId="43" fontId="31" fillId="0" borderId="24" xfId="116" applyFont="1" applyBorder="1" applyAlignment="1">
      <alignment vertical="center"/>
    </xf>
    <xf numFmtId="43" fontId="31" fillId="2" borderId="24" xfId="116" applyFont="1" applyFill="1" applyBorder="1" applyAlignment="1">
      <alignment vertical="center"/>
    </xf>
    <xf numFmtId="43" fontId="62" fillId="0" borderId="32" xfId="116" applyFont="1" applyFill="1" applyBorder="1" applyAlignment="1">
      <alignment vertical="center"/>
    </xf>
    <xf numFmtId="49" fontId="44" fillId="24" borderId="25" xfId="0" applyNumberFormat="1" applyFont="1" applyFill="1" applyBorder="1" applyAlignment="1">
      <alignment horizontal="center" vertical="center"/>
    </xf>
    <xf numFmtId="177" fontId="44" fillId="24" borderId="25" xfId="0" applyNumberFormat="1" applyFont="1" applyFill="1" applyBorder="1" applyAlignment="1">
      <alignment vertical="center"/>
    </xf>
    <xf numFmtId="177" fontId="52" fillId="24" borderId="0" xfId="0" applyNumberFormat="1" applyFont="1" applyFill="1" applyAlignment="1">
      <alignment vertical="center"/>
    </xf>
    <xf numFmtId="177" fontId="59" fillId="24" borderId="12" xfId="0" applyNumberFormat="1" applyFont="1" applyFill="1" applyBorder="1" applyAlignment="1">
      <alignment vertical="center"/>
    </xf>
    <xf numFmtId="0" fontId="0" fillId="0" borderId="25" xfId="0" applyBorder="1" applyAlignment="1">
      <alignment horizontal="left" vertical="center"/>
    </xf>
    <xf numFmtId="170" fontId="44" fillId="24" borderId="25" xfId="0" applyNumberFormat="1" applyFont="1" applyFill="1" applyBorder="1" applyAlignment="1">
      <alignment horizontal="center" vertical="center"/>
    </xf>
    <xf numFmtId="170" fontId="0" fillId="0" borderId="25" xfId="0" applyNumberFormat="1" applyBorder="1" applyAlignment="1">
      <alignment horizontal="center"/>
    </xf>
    <xf numFmtId="0" fontId="58" fillId="0" borderId="25" xfId="0" applyFont="1" applyBorder="1" applyAlignment="1">
      <alignment horizontal="left" vertical="center"/>
    </xf>
    <xf numFmtId="49" fontId="44" fillId="24" borderId="25" xfId="0" applyNumberFormat="1" applyFont="1" applyFill="1" applyBorder="1" applyAlignment="1">
      <alignment vertical="center"/>
    </xf>
    <xf numFmtId="0" fontId="0" fillId="0" borderId="28" xfId="0" applyBorder="1" applyAlignment="1">
      <alignment horizontal="center" vertical="center"/>
    </xf>
    <xf numFmtId="0" fontId="63" fillId="0" borderId="25" xfId="0" applyFont="1" applyBorder="1"/>
    <xf numFmtId="177" fontId="64" fillId="21" borderId="17" xfId="0" applyNumberFormat="1" applyFont="1" applyFill="1" applyBorder="1" applyAlignment="1">
      <alignment vertical="center"/>
    </xf>
    <xf numFmtId="177" fontId="64" fillId="21" borderId="18" xfId="0" applyNumberFormat="1" applyFont="1" applyFill="1" applyBorder="1" applyAlignment="1">
      <alignment vertical="center"/>
    </xf>
    <xf numFmtId="49" fontId="53" fillId="24" borderId="25" xfId="0" applyNumberFormat="1" applyFont="1" applyFill="1" applyBorder="1" applyAlignment="1">
      <alignment vertical="center"/>
    </xf>
    <xf numFmtId="177" fontId="53" fillId="24" borderId="25" xfId="0" applyNumberFormat="1" applyFont="1" applyFill="1" applyBorder="1" applyAlignment="1">
      <alignment vertical="center"/>
    </xf>
    <xf numFmtId="181" fontId="0" fillId="0" borderId="25" xfId="0" applyNumberFormat="1" applyBorder="1"/>
    <xf numFmtId="17" fontId="63" fillId="0" borderId="25" xfId="0" applyNumberFormat="1" applyFont="1" applyBorder="1"/>
    <xf numFmtId="17" fontId="60" fillId="0" borderId="0" xfId="0" applyNumberFormat="1" applyFont="1"/>
    <xf numFmtId="43" fontId="60" fillId="0" borderId="0" xfId="0" applyNumberFormat="1" applyFont="1"/>
    <xf numFmtId="0" fontId="0" fillId="0" borderId="25" xfId="0" applyBorder="1" applyAlignment="1">
      <alignment horizontal="right"/>
    </xf>
    <xf numFmtId="177" fontId="2" fillId="24" borderId="25" xfId="121" applyNumberFormat="1" applyFont="1" applyFill="1" applyBorder="1" applyAlignment="1">
      <alignment horizontal="center" vertical="center" wrapText="1"/>
    </xf>
    <xf numFmtId="0" fontId="63" fillId="0" borderId="25" xfId="0" applyFont="1" applyBorder="1" applyAlignment="1">
      <alignment horizontal="center" vertical="center"/>
    </xf>
    <xf numFmtId="0" fontId="65" fillId="0" borderId="25" xfId="0" applyFont="1" applyBorder="1" applyAlignment="1">
      <alignment horizontal="center"/>
    </xf>
    <xf numFmtId="43" fontId="0" fillId="0" borderId="25" xfId="116" applyFont="1" applyFill="1" applyBorder="1"/>
    <xf numFmtId="177" fontId="47" fillId="0" borderId="0" xfId="0" applyNumberFormat="1" applyFont="1" applyAlignment="1">
      <alignment horizontal="center" vertical="center" wrapText="1"/>
    </xf>
    <xf numFmtId="43" fontId="0" fillId="0" borderId="25" xfId="116" applyFont="1" applyFill="1" applyBorder="1" applyAlignment="1">
      <alignment horizontal="center" vertical="center"/>
    </xf>
    <xf numFmtId="177" fontId="44" fillId="0" borderId="0" xfId="0" applyNumberFormat="1" applyFont="1" applyAlignment="1">
      <alignment vertical="center"/>
    </xf>
    <xf numFmtId="177" fontId="49" fillId="0" borderId="0" xfId="0" applyNumberFormat="1" applyFont="1" applyAlignment="1">
      <alignment vertical="center"/>
    </xf>
    <xf numFmtId="177" fontId="49" fillId="0" borderId="16" xfId="0" applyNumberFormat="1" applyFont="1" applyBorder="1" applyAlignment="1">
      <alignment vertical="center"/>
    </xf>
    <xf numFmtId="0" fontId="61" fillId="0" borderId="25" xfId="0" applyFont="1" applyBorder="1" applyAlignment="1">
      <alignment horizontal="center" vertical="center"/>
    </xf>
    <xf numFmtId="0" fontId="0" fillId="0" borderId="29" xfId="0" applyBorder="1" applyAlignment="1">
      <alignment horizontal="center" vertical="center"/>
    </xf>
    <xf numFmtId="0" fontId="0" fillId="0" borderId="29" xfId="0" applyBorder="1"/>
    <xf numFmtId="43" fontId="60" fillId="0" borderId="29" xfId="0" applyNumberFormat="1" applyFont="1" applyBorder="1"/>
    <xf numFmtId="43" fontId="0" fillId="0" borderId="29" xfId="0" applyNumberFormat="1" applyBorder="1"/>
    <xf numFmtId="44" fontId="30" fillId="0" borderId="0" xfId="0" applyNumberFormat="1" applyFont="1" applyAlignment="1">
      <alignment vertical="center"/>
    </xf>
    <xf numFmtId="17" fontId="0" fillId="0" borderId="0" xfId="0" applyNumberFormat="1"/>
    <xf numFmtId="177" fontId="51" fillId="24" borderId="0" xfId="0" applyNumberFormat="1" applyFont="1" applyFill="1" applyAlignment="1">
      <alignment vertical="center" wrapText="1"/>
    </xf>
    <xf numFmtId="0" fontId="35" fillId="0" borderId="25" xfId="0" applyFont="1" applyBorder="1" applyAlignment="1">
      <alignment horizontal="center" vertical="center" wrapText="1"/>
    </xf>
    <xf numFmtId="2" fontId="35" fillId="0" borderId="25" xfId="0" applyNumberFormat="1" applyFont="1" applyBorder="1" applyAlignment="1">
      <alignment horizontal="center" vertical="center" wrapText="1"/>
    </xf>
    <xf numFmtId="44" fontId="35" fillId="0" borderId="25" xfId="1" applyFont="1" applyFill="1" applyBorder="1" applyAlignment="1">
      <alignment horizontal="center" vertical="center" wrapText="1"/>
    </xf>
    <xf numFmtId="43" fontId="31" fillId="0" borderId="25" xfId="116" applyFont="1" applyFill="1" applyBorder="1" applyAlignment="1">
      <alignment vertical="center"/>
    </xf>
    <xf numFmtId="43" fontId="31" fillId="0" borderId="24" xfId="116" applyFont="1" applyFill="1" applyBorder="1" applyAlignment="1">
      <alignment vertical="center"/>
    </xf>
    <xf numFmtId="43" fontId="31" fillId="0" borderId="33" xfId="116" applyFont="1" applyFill="1" applyBorder="1" applyAlignment="1">
      <alignment vertical="center"/>
    </xf>
    <xf numFmtId="44" fontId="33" fillId="0" borderId="25" xfId="1" applyFont="1" applyFill="1" applyBorder="1" applyAlignment="1">
      <alignment horizontal="right" vertical="center" wrapText="1"/>
    </xf>
    <xf numFmtId="10" fontId="31" fillId="0" borderId="25" xfId="0" applyNumberFormat="1" applyFont="1" applyBorder="1" applyAlignment="1">
      <alignment horizontal="center" vertical="center"/>
    </xf>
    <xf numFmtId="44" fontId="32" fillId="0" borderId="25" xfId="1" applyFont="1" applyFill="1" applyBorder="1" applyAlignment="1">
      <alignment horizontal="right" vertical="center" wrapText="1"/>
    </xf>
    <xf numFmtId="10" fontId="30" fillId="0" borderId="0" xfId="117" applyNumberFormat="1" applyFont="1" applyFill="1" applyAlignment="1">
      <alignment vertical="center"/>
    </xf>
    <xf numFmtId="43" fontId="0" fillId="0" borderId="15" xfId="116" applyFont="1" applyBorder="1"/>
    <xf numFmtId="43" fontId="0" fillId="0" borderId="15" xfId="0" applyNumberFormat="1" applyBorder="1"/>
    <xf numFmtId="0" fontId="32" fillId="0" borderId="25" xfId="0" applyFont="1" applyBorder="1" applyAlignment="1">
      <alignment horizontal="center" vertical="center"/>
    </xf>
    <xf numFmtId="10" fontId="32" fillId="0" borderId="30" xfId="0" applyNumberFormat="1" applyFont="1" applyBorder="1" applyAlignment="1">
      <alignment vertical="center"/>
    </xf>
    <xf numFmtId="49" fontId="32" fillId="2" borderId="31" xfId="0" applyNumberFormat="1" applyFont="1" applyFill="1" applyBorder="1" applyAlignment="1">
      <alignment horizontal="center" vertical="center" wrapText="1"/>
    </xf>
    <xf numFmtId="0" fontId="32" fillId="2" borderId="16" xfId="0" applyFont="1" applyFill="1" applyBorder="1" applyAlignment="1">
      <alignment horizontal="left" vertical="center" wrapText="1"/>
    </xf>
    <xf numFmtId="0" fontId="31" fillId="2" borderId="16" xfId="0" applyFont="1" applyFill="1" applyBorder="1" applyAlignment="1">
      <alignment horizontal="center" vertical="center" wrapText="1"/>
    </xf>
    <xf numFmtId="0" fontId="31" fillId="2" borderId="24" xfId="0" applyFont="1" applyFill="1" applyBorder="1" applyAlignment="1">
      <alignment horizontal="center" vertical="center" wrapText="1"/>
    </xf>
    <xf numFmtId="49" fontId="31" fillId="25" borderId="25" xfId="0" applyNumberFormat="1" applyFont="1" applyFill="1" applyBorder="1" applyAlignment="1">
      <alignment horizontal="center" vertical="center" wrapText="1"/>
    </xf>
    <xf numFmtId="0" fontId="31" fillId="0" borderId="10" xfId="0" applyFont="1" applyBorder="1" applyAlignment="1">
      <alignment horizontal="left" vertical="center" wrapText="1"/>
    </xf>
    <xf numFmtId="0" fontId="31" fillId="25" borderId="39" xfId="0" applyFont="1" applyFill="1" applyBorder="1" applyAlignment="1">
      <alignment horizontal="center" vertical="center" wrapText="1"/>
    </xf>
    <xf numFmtId="0" fontId="31" fillId="25" borderId="32" xfId="0" applyFont="1" applyFill="1" applyBorder="1" applyAlignment="1">
      <alignment horizontal="center" vertical="center" wrapText="1"/>
    </xf>
    <xf numFmtId="43" fontId="31" fillId="2" borderId="24" xfId="104" applyFont="1" applyFill="1" applyBorder="1" applyAlignment="1">
      <alignment horizontal="center" vertical="center"/>
    </xf>
    <xf numFmtId="43" fontId="32" fillId="2" borderId="24" xfId="104" applyFont="1" applyFill="1" applyBorder="1" applyAlignment="1">
      <alignment horizontal="center" vertical="center"/>
    </xf>
    <xf numFmtId="4" fontId="31" fillId="25" borderId="28" xfId="0" applyNumberFormat="1" applyFont="1" applyFill="1" applyBorder="1" applyAlignment="1">
      <alignment horizontal="center" vertical="center" wrapText="1"/>
    </xf>
    <xf numFmtId="164" fontId="35" fillId="25" borderId="40" xfId="109" applyFont="1" applyFill="1" applyBorder="1" applyAlignment="1">
      <alignment horizontal="center" vertical="center" wrapText="1"/>
    </xf>
    <xf numFmtId="44" fontId="31" fillId="25" borderId="41" xfId="123" applyFont="1" applyFill="1" applyBorder="1" applyAlignment="1">
      <alignment horizontal="center" vertical="center" wrapText="1"/>
    </xf>
    <xf numFmtId="4" fontId="31" fillId="25" borderId="25" xfId="0" applyNumberFormat="1" applyFont="1" applyFill="1" applyBorder="1" applyAlignment="1">
      <alignment horizontal="center" vertical="center" wrapText="1"/>
    </xf>
    <xf numFmtId="164" fontId="35" fillId="25" borderId="42" xfId="109" applyFont="1" applyFill="1" applyBorder="1" applyAlignment="1">
      <alignment horizontal="center" vertical="center" wrapText="1"/>
    </xf>
    <xf numFmtId="44" fontId="31" fillId="25" borderId="43" xfId="123" applyFont="1" applyFill="1" applyBorder="1" applyAlignment="1">
      <alignment horizontal="center" vertical="center" wrapText="1"/>
    </xf>
    <xf numFmtId="0" fontId="2" fillId="2" borderId="31" xfId="0" applyFont="1" applyFill="1" applyBorder="1" applyAlignment="1">
      <alignment vertical="center"/>
    </xf>
    <xf numFmtId="0" fontId="32" fillId="2" borderId="13" xfId="0" applyFont="1" applyFill="1" applyBorder="1" applyAlignment="1">
      <alignment horizontal="left" vertical="center" wrapText="1"/>
    </xf>
    <xf numFmtId="0" fontId="32" fillId="2" borderId="24" xfId="0" applyFont="1" applyFill="1" applyBorder="1" applyAlignment="1">
      <alignment horizontal="left" vertical="center" wrapText="1"/>
    </xf>
    <xf numFmtId="4" fontId="31" fillId="25" borderId="32" xfId="0" applyNumberFormat="1" applyFont="1" applyFill="1" applyBorder="1" applyAlignment="1">
      <alignment horizontal="center" vertical="center" wrapText="1"/>
    </xf>
    <xf numFmtId="0" fontId="31" fillId="2" borderId="32" xfId="0" applyFont="1" applyFill="1" applyBorder="1" applyAlignment="1">
      <alignment horizontal="center" vertical="center" wrapText="1"/>
    </xf>
    <xf numFmtId="43" fontId="31" fillId="2" borderId="25" xfId="116" applyFont="1" applyFill="1" applyBorder="1" applyAlignment="1">
      <alignment horizontal="center" vertical="center" wrapText="1"/>
    </xf>
    <xf numFmtId="44" fontId="31" fillId="25" borderId="28" xfId="0" applyNumberFormat="1" applyFont="1" applyFill="1" applyBorder="1" applyAlignment="1">
      <alignment horizontal="center" vertical="center"/>
    </xf>
    <xf numFmtId="4" fontId="32" fillId="2" borderId="24" xfId="104" applyNumberFormat="1" applyFont="1" applyFill="1" applyBorder="1" applyAlignment="1">
      <alignment horizontal="right" vertical="center"/>
    </xf>
    <xf numFmtId="43" fontId="29" fillId="2" borderId="0" xfId="0" applyNumberFormat="1" applyFont="1" applyFill="1" applyAlignment="1">
      <alignment vertical="center"/>
    </xf>
    <xf numFmtId="43" fontId="32" fillId="2" borderId="25" xfId="116" applyFont="1" applyFill="1" applyBorder="1" applyAlignment="1">
      <alignment horizontal="center" vertical="center" wrapText="1"/>
    </xf>
    <xf numFmtId="44" fontId="31" fillId="0" borderId="25" xfId="1" applyFont="1" applyBorder="1" applyAlignment="1">
      <alignment vertical="center"/>
    </xf>
    <xf numFmtId="44" fontId="31" fillId="0" borderId="25" xfId="1" applyFont="1" applyFill="1" applyBorder="1" applyAlignment="1">
      <alignment vertical="center"/>
    </xf>
    <xf numFmtId="0" fontId="31" fillId="0" borderId="12" xfId="0" applyFont="1" applyBorder="1" applyAlignment="1">
      <alignment horizontal="left" vertical="center" wrapText="1"/>
    </xf>
    <xf numFmtId="0" fontId="31" fillId="0" borderId="43" xfId="0" applyFont="1" applyBorder="1" applyAlignment="1">
      <alignment horizontal="left" vertical="center" wrapText="1"/>
    </xf>
    <xf numFmtId="0" fontId="30" fillId="26" borderId="34" xfId="0" applyFont="1" applyFill="1" applyBorder="1" applyAlignment="1">
      <alignment horizontal="center" vertical="center" wrapText="1"/>
    </xf>
    <xf numFmtId="0" fontId="30" fillId="26" borderId="35" xfId="0" applyFont="1" applyFill="1" applyBorder="1" applyAlignment="1">
      <alignment horizontal="center" vertical="center" wrapText="1"/>
    </xf>
    <xf numFmtId="44" fontId="30" fillId="0" borderId="16" xfId="0" applyNumberFormat="1" applyFont="1" applyBorder="1" applyAlignment="1">
      <alignment horizontal="center" vertical="center"/>
    </xf>
    <xf numFmtId="0" fontId="30" fillId="0" borderId="16" xfId="0" applyFont="1" applyBorder="1" applyAlignment="1">
      <alignment horizontal="center" vertical="center"/>
    </xf>
    <xf numFmtId="0" fontId="30" fillId="26" borderId="37" xfId="0" applyFont="1" applyFill="1" applyBorder="1" applyAlignment="1">
      <alignment horizontal="center" vertical="center" wrapText="1"/>
    </xf>
    <xf numFmtId="0" fontId="30" fillId="26" borderId="38" xfId="0" applyFont="1" applyFill="1" applyBorder="1" applyAlignment="1">
      <alignment horizontal="center" vertical="center"/>
    </xf>
    <xf numFmtId="0" fontId="30" fillId="26" borderId="35" xfId="0" applyFont="1" applyFill="1" applyBorder="1" applyAlignment="1">
      <alignment horizontal="center" vertical="center"/>
    </xf>
    <xf numFmtId="44" fontId="30" fillId="0" borderId="16" xfId="0" applyNumberFormat="1" applyFont="1" applyBorder="1" applyAlignment="1">
      <alignment vertical="center"/>
    </xf>
    <xf numFmtId="0" fontId="30" fillId="0" borderId="16" xfId="0" applyFont="1" applyBorder="1" applyAlignment="1">
      <alignment vertical="center"/>
    </xf>
    <xf numFmtId="0" fontId="39" fillId="21" borderId="36" xfId="0" applyFont="1" applyFill="1" applyBorder="1" applyAlignment="1">
      <alignment horizontal="center" vertical="center" wrapText="1"/>
    </xf>
    <xf numFmtId="0" fontId="39" fillId="21" borderId="29" xfId="0" applyFont="1" applyFill="1" applyBorder="1" applyAlignment="1">
      <alignment horizontal="center" vertical="center" wrapText="1"/>
    </xf>
    <xf numFmtId="0" fontId="39" fillId="21" borderId="28" xfId="0" applyFont="1" applyFill="1" applyBorder="1" applyAlignment="1">
      <alignment horizontal="center" vertical="center" wrapText="1"/>
    </xf>
    <xf numFmtId="0" fontId="32" fillId="0" borderId="16" xfId="0" applyFont="1" applyBorder="1" applyAlignment="1">
      <alignment horizontal="center" vertical="center"/>
    </xf>
    <xf numFmtId="0" fontId="32" fillId="0" borderId="26" xfId="0" applyFont="1" applyBorder="1" applyAlignment="1">
      <alignment horizontal="center" vertical="center"/>
    </xf>
    <xf numFmtId="0" fontId="32" fillId="0" borderId="0" xfId="0" applyFont="1" applyAlignment="1">
      <alignment horizontal="center" vertical="center"/>
    </xf>
    <xf numFmtId="0" fontId="32" fillId="0" borderId="15" xfId="0" applyFont="1" applyBorder="1" applyAlignment="1">
      <alignment horizontal="center" vertical="center"/>
    </xf>
    <xf numFmtId="0" fontId="39" fillId="21" borderId="29" xfId="0" quotePrefix="1" applyFont="1" applyFill="1" applyBorder="1" applyAlignment="1">
      <alignment horizontal="center" vertical="center" wrapText="1"/>
    </xf>
    <xf numFmtId="0" fontId="32" fillId="0" borderId="31" xfId="0" applyFont="1" applyBorder="1" applyAlignment="1">
      <alignment horizontal="center" vertical="center"/>
    </xf>
    <xf numFmtId="0" fontId="32" fillId="0" borderId="24" xfId="0" applyFont="1" applyBorder="1" applyAlignment="1">
      <alignment horizontal="center" vertical="center"/>
    </xf>
    <xf numFmtId="0" fontId="30" fillId="0" borderId="31" xfId="0" applyFont="1" applyBorder="1" applyAlignment="1">
      <alignment horizontal="center" vertical="center" wrapText="1"/>
    </xf>
    <xf numFmtId="0" fontId="30" fillId="0" borderId="24" xfId="0" applyFont="1" applyBorder="1" applyAlignment="1">
      <alignment horizontal="center" vertical="center" wrapText="1"/>
    </xf>
    <xf numFmtId="0" fontId="33" fillId="21" borderId="27" xfId="0" applyFont="1" applyFill="1" applyBorder="1" applyAlignment="1">
      <alignment horizontal="center" vertical="center" wrapText="1"/>
    </xf>
    <xf numFmtId="0" fontId="33" fillId="21" borderId="26" xfId="0" applyFont="1" applyFill="1" applyBorder="1" applyAlignment="1">
      <alignment horizontal="center" vertical="center" wrapText="1"/>
    </xf>
    <xf numFmtId="0" fontId="33" fillId="21" borderId="10" xfId="0" applyFont="1" applyFill="1" applyBorder="1" applyAlignment="1">
      <alignment horizontal="center" vertical="center" wrapText="1"/>
    </xf>
    <xf numFmtId="0" fontId="33" fillId="21" borderId="11" xfId="0" applyFont="1" applyFill="1" applyBorder="1" applyAlignment="1">
      <alignment horizontal="center" vertical="center" wrapText="1"/>
    </xf>
    <xf numFmtId="0" fontId="32" fillId="0" borderId="25" xfId="0" applyFont="1" applyBorder="1" applyAlignment="1">
      <alignment horizontal="center" vertical="center"/>
    </xf>
    <xf numFmtId="0" fontId="30" fillId="0" borderId="30" xfId="0" applyFont="1" applyBorder="1" applyAlignment="1">
      <alignment horizontal="center" vertical="center" wrapText="1"/>
    </xf>
    <xf numFmtId="0" fontId="33" fillId="21" borderId="36" xfId="0" applyFont="1" applyFill="1" applyBorder="1" applyAlignment="1">
      <alignment horizontal="center" vertical="center" wrapText="1"/>
    </xf>
    <xf numFmtId="0" fontId="33" fillId="21" borderId="29" xfId="0" applyFont="1" applyFill="1" applyBorder="1" applyAlignment="1">
      <alignment horizontal="center" vertical="center" wrapText="1"/>
    </xf>
    <xf numFmtId="0" fontId="33" fillId="21" borderId="28" xfId="0" applyFont="1" applyFill="1" applyBorder="1" applyAlignment="1">
      <alignment horizontal="center" vertical="center" wrapText="1"/>
    </xf>
    <xf numFmtId="0" fontId="33" fillId="21" borderId="25" xfId="0"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Alignment="1">
      <alignment horizontal="left" vertical="center" wrapText="1"/>
    </xf>
    <xf numFmtId="177" fontId="49" fillId="24" borderId="15" xfId="0" applyNumberFormat="1" applyFont="1" applyFill="1" applyBorder="1" applyAlignment="1">
      <alignment horizontal="left" vertical="center" wrapText="1"/>
    </xf>
    <xf numFmtId="177" fontId="49" fillId="24" borderId="0" xfId="0" applyNumberFormat="1" applyFont="1" applyFill="1" applyAlignment="1">
      <alignment horizontal="center" vertical="center"/>
    </xf>
    <xf numFmtId="179" fontId="47" fillId="25" borderId="12" xfId="66" applyNumberFormat="1" applyFont="1" applyFill="1" applyBorder="1" applyAlignment="1">
      <alignment horizontal="center" vertical="center"/>
    </xf>
    <xf numFmtId="179" fontId="47" fillId="25" borderId="0" xfId="66" applyNumberFormat="1" applyFont="1" applyFill="1" applyAlignment="1">
      <alignment horizontal="center" vertical="center"/>
    </xf>
    <xf numFmtId="179" fontId="47"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50" fillId="24" borderId="12" xfId="0" applyNumberFormat="1" applyFont="1" applyFill="1" applyBorder="1" applyAlignment="1">
      <alignment horizontal="center" vertical="center"/>
    </xf>
    <xf numFmtId="177" fontId="50" fillId="24" borderId="0" xfId="0" applyNumberFormat="1" applyFont="1" applyFill="1" applyAlignment="1">
      <alignment horizontal="center" vertical="center"/>
    </xf>
    <xf numFmtId="177" fontId="50" fillId="24" borderId="15" xfId="0" applyNumberFormat="1" applyFont="1" applyFill="1" applyBorder="1" applyAlignment="1">
      <alignment horizontal="center" vertical="center"/>
    </xf>
    <xf numFmtId="177" fontId="64" fillId="21" borderId="17" xfId="0" applyNumberFormat="1" applyFont="1" applyFill="1" applyBorder="1" applyAlignment="1">
      <alignment horizontal="left" vertical="center"/>
    </xf>
    <xf numFmtId="177" fontId="64" fillId="21" borderId="18" xfId="0" applyNumberFormat="1" applyFont="1" applyFill="1" applyBorder="1" applyAlignment="1">
      <alignment horizontal="left" vertical="center"/>
    </xf>
    <xf numFmtId="177" fontId="57" fillId="21" borderId="17" xfId="0" quotePrefix="1" applyNumberFormat="1" applyFont="1" applyFill="1" applyBorder="1" applyAlignment="1">
      <alignment horizontal="left" vertical="center" wrapText="1"/>
    </xf>
    <xf numFmtId="177" fontId="57" fillId="21" borderId="18" xfId="0" quotePrefix="1" applyNumberFormat="1" applyFont="1" applyFill="1" applyBorder="1" applyAlignment="1">
      <alignment horizontal="left" vertical="center" wrapText="1"/>
    </xf>
    <xf numFmtId="177" fontId="49" fillId="21" borderId="17" xfId="0" quotePrefix="1"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wrapText="1"/>
    </xf>
    <xf numFmtId="0" fontId="56" fillId="0" borderId="31" xfId="0" applyFont="1" applyBorder="1" applyAlignment="1">
      <alignment horizontal="center"/>
    </xf>
    <xf numFmtId="0" fontId="56" fillId="0" borderId="24" xfId="0" applyFont="1" applyBorder="1" applyAlignment="1">
      <alignment horizontal="center"/>
    </xf>
    <xf numFmtId="0" fontId="56" fillId="0" borderId="30" xfId="0" applyFont="1" applyBorder="1" applyAlignment="1">
      <alignment horizontal="center"/>
    </xf>
    <xf numFmtId="43" fontId="56" fillId="27" borderId="25" xfId="116" applyFont="1" applyFill="1" applyBorder="1" applyAlignment="1">
      <alignment horizontal="center" vertical="center"/>
    </xf>
    <xf numFmtId="0" fontId="0" fillId="0" borderId="31" xfId="0" applyBorder="1" applyAlignment="1">
      <alignment horizontal="center"/>
    </xf>
    <xf numFmtId="0" fontId="0" fillId="0" borderId="24" xfId="0" applyBorder="1" applyAlignment="1">
      <alignment horizontal="center"/>
    </xf>
    <xf numFmtId="0" fontId="0" fillId="0" borderId="30" xfId="0" applyBorder="1" applyAlignment="1">
      <alignment horizontal="center"/>
    </xf>
    <xf numFmtId="177" fontId="51" fillId="24" borderId="0" xfId="0" applyNumberFormat="1" applyFont="1" applyFill="1" applyAlignment="1">
      <alignment horizontal="center" vertical="center" wrapText="1"/>
    </xf>
    <xf numFmtId="177" fontId="49" fillId="24" borderId="13" xfId="0" applyNumberFormat="1" applyFont="1" applyFill="1" applyBorder="1" applyAlignment="1">
      <alignment horizontal="center" vertical="center"/>
    </xf>
    <xf numFmtId="177" fontId="49" fillId="0" borderId="0" xfId="0" applyNumberFormat="1" applyFont="1" applyAlignment="1">
      <alignment horizontal="left" vertical="center" wrapText="1"/>
    </xf>
    <xf numFmtId="177" fontId="49" fillId="21" borderId="17" xfId="0" applyNumberFormat="1" applyFont="1" applyFill="1" applyBorder="1" applyAlignment="1">
      <alignment horizontal="left" vertical="center"/>
    </xf>
    <xf numFmtId="177" fontId="49" fillId="21" borderId="18" xfId="0" applyNumberFormat="1" applyFont="1" applyFill="1" applyBorder="1" applyAlignment="1">
      <alignment horizontal="left" vertical="center"/>
    </xf>
    <xf numFmtId="177" fontId="23" fillId="21" borderId="17" xfId="0" quotePrefix="1" applyNumberFormat="1" applyFont="1" applyFill="1" applyBorder="1" applyAlignment="1">
      <alignment horizontal="left" vertical="center" wrapText="1"/>
    </xf>
    <xf numFmtId="177" fontId="23" fillId="21" borderId="18" xfId="0" quotePrefix="1" applyNumberFormat="1" applyFont="1" applyFill="1" applyBorder="1" applyAlignment="1">
      <alignment horizontal="left" vertical="center" wrapText="1"/>
    </xf>
    <xf numFmtId="177" fontId="48" fillId="24" borderId="25" xfId="0" quotePrefix="1" applyNumberFormat="1" applyFont="1" applyFill="1" applyBorder="1" applyAlignment="1">
      <alignment horizontal="center" vertical="center"/>
    </xf>
    <xf numFmtId="43" fontId="30" fillId="0" borderId="0" xfId="116" applyFont="1" applyBorder="1" applyAlignment="1">
      <alignment horizontal="center" vertical="center"/>
    </xf>
    <xf numFmtId="43" fontId="30" fillId="0" borderId="10" xfId="116" applyFont="1" applyBorder="1" applyAlignment="1">
      <alignment horizontal="left" vertical="center"/>
    </xf>
    <xf numFmtId="43" fontId="30" fillId="0" borderId="13" xfId="116" applyFont="1" applyBorder="1" applyAlignment="1">
      <alignment horizontal="left" vertical="center"/>
    </xf>
    <xf numFmtId="43" fontId="30" fillId="0" borderId="11" xfId="116" applyFont="1" applyBorder="1" applyAlignment="1">
      <alignment horizontal="left" vertical="center"/>
    </xf>
    <xf numFmtId="4" fontId="48" fillId="24" borderId="31" xfId="0" applyNumberFormat="1" applyFont="1" applyFill="1" applyBorder="1" applyAlignment="1">
      <alignment horizontal="center" vertical="center"/>
    </xf>
    <xf numFmtId="4" fontId="48" fillId="24" borderId="30"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7" fillId="24" borderId="12" xfId="0" applyNumberFormat="1" applyFont="1" applyFill="1" applyBorder="1" applyAlignment="1">
      <alignment horizontal="center" vertical="center" wrapText="1"/>
    </xf>
    <xf numFmtId="177" fontId="47" fillId="0" borderId="0" xfId="0" applyNumberFormat="1" applyFont="1" applyAlignment="1">
      <alignment horizontal="center" vertical="center" wrapText="1"/>
    </xf>
    <xf numFmtId="177" fontId="44" fillId="24" borderId="0" xfId="0" applyNumberFormat="1" applyFont="1" applyFill="1" applyAlignment="1">
      <alignment horizontal="left" vertical="center" wrapText="1"/>
    </xf>
    <xf numFmtId="177" fontId="44" fillId="24" borderId="15" xfId="0" applyNumberFormat="1" applyFont="1" applyFill="1" applyBorder="1" applyAlignment="1">
      <alignment horizontal="left" vertical="center" wrapText="1"/>
    </xf>
    <xf numFmtId="177" fontId="44" fillId="24" borderId="13" xfId="0" applyNumberFormat="1" applyFont="1" applyFill="1" applyBorder="1" applyAlignment="1">
      <alignment horizontal="left" vertical="center" wrapText="1"/>
    </xf>
    <xf numFmtId="177" fontId="44" fillId="24" borderId="11" xfId="0" applyNumberFormat="1" applyFont="1" applyFill="1" applyBorder="1" applyAlignment="1">
      <alignment horizontal="left" vertical="center" wrapText="1"/>
    </xf>
    <xf numFmtId="177" fontId="52" fillId="24" borderId="25" xfId="0" applyNumberFormat="1" applyFont="1" applyFill="1" applyBorder="1" applyAlignment="1">
      <alignment horizontal="left" vertical="center" wrapText="1"/>
    </xf>
    <xf numFmtId="177" fontId="64" fillId="21" borderId="17" xfId="0" applyNumberFormat="1" applyFont="1" applyFill="1" applyBorder="1" applyAlignment="1">
      <alignment horizontal="center" vertical="center" wrapText="1"/>
    </xf>
    <xf numFmtId="177" fontId="64" fillId="21" borderId="18" xfId="0" applyNumberFormat="1" applyFont="1" applyFill="1" applyBorder="1" applyAlignment="1">
      <alignment horizontal="center" vertical="center" wrapText="1"/>
    </xf>
    <xf numFmtId="177" fontId="64" fillId="21" borderId="17" xfId="0" applyNumberFormat="1" applyFont="1" applyFill="1" applyBorder="1" applyAlignment="1">
      <alignment horizontal="left" vertical="center" wrapText="1"/>
    </xf>
    <xf numFmtId="177" fontId="64" fillId="21" borderId="18" xfId="0" applyNumberFormat="1" applyFont="1" applyFill="1" applyBorder="1" applyAlignment="1">
      <alignment horizontal="left" vertical="center" wrapText="1"/>
    </xf>
    <xf numFmtId="177" fontId="44" fillId="24" borderId="13" xfId="0" applyNumberFormat="1" applyFont="1" applyFill="1" applyBorder="1" applyAlignment="1">
      <alignment horizontal="center" vertical="center"/>
    </xf>
    <xf numFmtId="177" fontId="48" fillId="24" borderId="0" xfId="0" quotePrefix="1" applyNumberFormat="1" applyFont="1" applyFill="1" applyAlignment="1">
      <alignment horizontal="center" vertical="center"/>
    </xf>
    <xf numFmtId="177" fontId="49" fillId="21" borderId="24" xfId="0" applyNumberFormat="1" applyFont="1" applyFill="1" applyBorder="1" applyAlignment="1">
      <alignment horizontal="left" vertical="center" wrapText="1"/>
    </xf>
    <xf numFmtId="177" fontId="49" fillId="21" borderId="30" xfId="0" applyNumberFormat="1" applyFont="1" applyFill="1" applyBorder="1" applyAlignment="1">
      <alignment horizontal="left" vertical="center" wrapText="1"/>
    </xf>
    <xf numFmtId="177" fontId="48" fillId="24" borderId="12" xfId="0" applyNumberFormat="1" applyFont="1" applyFill="1" applyBorder="1" applyAlignment="1">
      <alignment horizontal="center" vertical="center"/>
    </xf>
    <xf numFmtId="177" fontId="48" fillId="24" borderId="0" xfId="0" applyNumberFormat="1" applyFont="1" applyFill="1" applyAlignment="1">
      <alignment horizontal="center" vertical="center"/>
    </xf>
    <xf numFmtId="177" fontId="5" fillId="0" borderId="0" xfId="0" applyNumberFormat="1" applyFont="1" applyAlignment="1">
      <alignment horizontal="left" vertical="top" wrapText="1"/>
    </xf>
    <xf numFmtId="177" fontId="5" fillId="0" borderId="15" xfId="0" applyNumberFormat="1" applyFont="1" applyBorder="1" applyAlignment="1">
      <alignment horizontal="left" vertical="top" wrapText="1"/>
    </xf>
    <xf numFmtId="177" fontId="44" fillId="21" borderId="17" xfId="0" applyNumberFormat="1" applyFont="1" applyFill="1" applyBorder="1" applyAlignment="1">
      <alignment horizontal="left" vertical="center" wrapText="1"/>
    </xf>
    <xf numFmtId="177" fontId="44" fillId="21" borderId="18" xfId="0" applyNumberFormat="1" applyFont="1" applyFill="1" applyBorder="1" applyAlignment="1">
      <alignment horizontal="left" vertical="center" wrapText="1"/>
    </xf>
    <xf numFmtId="177" fontId="57" fillId="24" borderId="25" xfId="0" applyNumberFormat="1" applyFont="1" applyFill="1" applyBorder="1" applyAlignment="1">
      <alignment horizontal="left" vertical="center" wrapText="1"/>
    </xf>
    <xf numFmtId="177" fontId="49" fillId="24" borderId="10" xfId="0" applyNumberFormat="1" applyFont="1" applyFill="1" applyBorder="1" applyAlignment="1">
      <alignment horizontal="left" vertical="center" wrapText="1"/>
    </xf>
    <xf numFmtId="177" fontId="49" fillId="24" borderId="13" xfId="0" applyNumberFormat="1" applyFont="1" applyFill="1" applyBorder="1" applyAlignment="1">
      <alignment horizontal="left" vertical="center" wrapText="1"/>
    </xf>
    <xf numFmtId="177" fontId="49" fillId="24" borderId="11" xfId="0" applyNumberFormat="1" applyFont="1" applyFill="1" applyBorder="1" applyAlignment="1">
      <alignment horizontal="left" vertical="center" wrapText="1"/>
    </xf>
    <xf numFmtId="177" fontId="23" fillId="24" borderId="25" xfId="0" applyNumberFormat="1" applyFont="1" applyFill="1" applyBorder="1" applyAlignment="1">
      <alignment horizontal="left" vertical="center" wrapText="1"/>
    </xf>
    <xf numFmtId="0" fontId="0" fillId="0" borderId="0" xfId="0" applyAlignment="1">
      <alignment horizontal="left" vertical="top" wrapText="1"/>
    </xf>
    <xf numFmtId="0" fontId="0" fillId="0" borderId="15" xfId="0" applyBorder="1" applyAlignment="1">
      <alignment horizontal="left" vertical="top" wrapText="1"/>
    </xf>
    <xf numFmtId="0" fontId="0" fillId="2" borderId="25" xfId="0" applyFill="1" applyBorder="1" applyAlignment="1">
      <alignment horizontal="center"/>
    </xf>
    <xf numFmtId="0" fontId="56" fillId="2" borderId="25" xfId="0" applyFont="1" applyFill="1" applyBorder="1" applyAlignment="1">
      <alignment horizontal="center"/>
    </xf>
    <xf numFmtId="0" fontId="56" fillId="0" borderId="25" xfId="0" applyFont="1" applyBorder="1" applyAlignment="1">
      <alignment horizontal="center"/>
    </xf>
    <xf numFmtId="177" fontId="64" fillId="24" borderId="12" xfId="0" applyNumberFormat="1" applyFont="1" applyFill="1" applyBorder="1" applyAlignment="1">
      <alignment horizontal="left" vertical="center" wrapText="1"/>
    </xf>
    <xf numFmtId="177" fontId="64" fillId="24" borderId="0" xfId="0" applyNumberFormat="1" applyFont="1" applyFill="1" applyAlignment="1">
      <alignment horizontal="left" vertical="center" wrapText="1"/>
    </xf>
    <xf numFmtId="177" fontId="64" fillId="24" borderId="15" xfId="0" applyNumberFormat="1" applyFont="1" applyFill="1" applyBorder="1" applyAlignment="1">
      <alignment horizontal="left" vertical="center" wrapText="1"/>
    </xf>
    <xf numFmtId="177" fontId="44" fillId="21" borderId="24" xfId="0" applyNumberFormat="1" applyFont="1" applyFill="1" applyBorder="1" applyAlignment="1">
      <alignment horizontal="left" vertical="center" wrapText="1"/>
    </xf>
    <xf numFmtId="177" fontId="44" fillId="21" borderId="30" xfId="0" applyNumberFormat="1" applyFont="1" applyFill="1" applyBorder="1" applyAlignment="1">
      <alignment horizontal="left" vertical="center" wrapText="1"/>
    </xf>
    <xf numFmtId="177" fontId="64" fillId="21" borderId="24" xfId="0" applyNumberFormat="1" applyFont="1" applyFill="1" applyBorder="1" applyAlignment="1">
      <alignment horizontal="left" vertical="center" wrapText="1"/>
    </xf>
    <xf numFmtId="177" fontId="64" fillId="21" borderId="30" xfId="0" applyNumberFormat="1" applyFont="1" applyFill="1" applyBorder="1" applyAlignment="1">
      <alignment horizontal="left" vertical="center" wrapText="1"/>
    </xf>
    <xf numFmtId="0" fontId="29" fillId="0" borderId="0" xfId="0" applyFont="1"/>
    <xf numFmtId="0" fontId="29"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wrapText="1"/>
    </xf>
    <xf numFmtId="0" fontId="40" fillId="0" borderId="0" xfId="0" applyFont="1" applyAlignment="1">
      <alignment horizontal="center" vertical="center"/>
    </xf>
    <xf numFmtId="0" fontId="31" fillId="0" borderId="0" xfId="0" applyFont="1" applyAlignment="1">
      <alignment horizontal="center" vertical="center"/>
    </xf>
    <xf numFmtId="0" fontId="30" fillId="0" borderId="0" xfId="3" applyFont="1"/>
    <xf numFmtId="0" fontId="29" fillId="21" borderId="0" xfId="3" applyFont="1" applyFill="1" applyAlignment="1">
      <alignment horizontal="left"/>
    </xf>
    <xf numFmtId="0" fontId="29" fillId="21" borderId="0" xfId="0" applyFont="1" applyFill="1" applyAlignment="1">
      <alignment horizontal="center" vertical="center"/>
    </xf>
    <xf numFmtId="0" fontId="30" fillId="0" borderId="0" xfId="3" applyFont="1" applyAlignment="1">
      <alignment horizontal="left" vertical="center" wrapText="1"/>
    </xf>
  </cellXfs>
  <cellStyles count="124">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2 3" xfId="12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190346</xdr:colOff>
      <xdr:row>4</xdr:row>
      <xdr:rowOff>180975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twoCellAnchor editAs="oneCell">
    <xdr:from>
      <xdr:col>1</xdr:col>
      <xdr:colOff>1190625</xdr:colOff>
      <xdr:row>106</xdr:row>
      <xdr:rowOff>54428</xdr:rowOff>
    </xdr:from>
    <xdr:to>
      <xdr:col>1</xdr:col>
      <xdr:colOff>2039283</xdr:colOff>
      <xdr:row>106</xdr:row>
      <xdr:rowOff>692185</xdr:rowOff>
    </xdr:to>
    <xdr:pic>
      <xdr:nvPicPr>
        <xdr:cNvPr id="3" name="Imagem 2">
          <a:extLst>
            <a:ext uri="{FF2B5EF4-FFF2-40B4-BE49-F238E27FC236}">
              <a16:creationId xmlns:a16="http://schemas.microsoft.com/office/drawing/2014/main" xmlns="" id="{25B64533-7CDC-811A-3E08-D648D24BC21A}"/>
            </a:ext>
          </a:extLst>
        </xdr:cNvPr>
        <xdr:cNvPicPr>
          <a:picLocks noChangeAspect="1"/>
        </xdr:cNvPicPr>
      </xdr:nvPicPr>
      <xdr:blipFill>
        <a:blip xmlns:r="http://schemas.openxmlformats.org/officeDocument/2006/relationships" r:embed="rId2"/>
        <a:stretch>
          <a:fillRect/>
        </a:stretch>
      </xdr:blipFill>
      <xdr:spPr>
        <a:xfrm>
          <a:off x="1524000" y="20422053"/>
          <a:ext cx="848658" cy="6472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0FDA0C05-86DD-4A1A-A8E8-9C6C3E6C14E5}"/>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1695450</xdr:colOff>
      <xdr:row>23</xdr:row>
      <xdr:rowOff>166644</xdr:rowOff>
    </xdr:from>
    <xdr:to>
      <xdr:col>3</xdr:col>
      <xdr:colOff>723900</xdr:colOff>
      <xdr:row>37</xdr:row>
      <xdr:rowOff>142139</xdr:rowOff>
    </xdr:to>
    <xdr:pic>
      <xdr:nvPicPr>
        <xdr:cNvPr id="4" name="Imagem 3">
          <a:extLst>
            <a:ext uri="{FF2B5EF4-FFF2-40B4-BE49-F238E27FC236}">
              <a16:creationId xmlns:a16="http://schemas.microsoft.com/office/drawing/2014/main" xmlns="" id="{B0D814B9-2EC5-4AA8-A3B7-76066E5539E6}"/>
            </a:ext>
          </a:extLst>
        </xdr:cNvPr>
        <xdr:cNvPicPr>
          <a:picLocks noChangeAspect="1"/>
        </xdr:cNvPicPr>
      </xdr:nvPicPr>
      <xdr:blipFill>
        <a:blip xmlns:r="http://schemas.openxmlformats.org/officeDocument/2006/relationships" r:embed="rId2"/>
        <a:stretch>
          <a:fillRect/>
        </a:stretch>
      </xdr:blipFill>
      <xdr:spPr>
        <a:xfrm>
          <a:off x="2514600" y="5157744"/>
          <a:ext cx="1809750" cy="33187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5838825" y="10315575"/>
          <a:ext cx="877900" cy="493819"/>
        </a:xfrm>
        <a:prstGeom prst="rect">
          <a:avLst/>
        </a:prstGeom>
      </xdr:spPr>
    </xdr:pic>
    <xdr:clientData/>
  </xdr:twoCellAnchor>
  <xdr:twoCellAnchor editAs="oneCell">
    <xdr:from>
      <xdr:col>1</xdr:col>
      <xdr:colOff>371475</xdr:colOff>
      <xdr:row>31</xdr:row>
      <xdr:rowOff>180974</xdr:rowOff>
    </xdr:from>
    <xdr:to>
      <xdr:col>6</xdr:col>
      <xdr:colOff>141792</xdr:colOff>
      <xdr:row>44</xdr:row>
      <xdr:rowOff>180397</xdr:rowOff>
    </xdr:to>
    <xdr:pic>
      <xdr:nvPicPr>
        <xdr:cNvPr id="4" name="Imagem 3">
          <a:extLst>
            <a:ext uri="{FF2B5EF4-FFF2-40B4-BE49-F238E27FC236}">
              <a16:creationId xmlns:a16="http://schemas.microsoft.com/office/drawing/2014/main" xmlns="" id="{9F6F9A8A-2F43-464D-B2EB-FB445CA35BE4}"/>
            </a:ext>
          </a:extLst>
        </xdr:cNvPr>
        <xdr:cNvPicPr>
          <a:picLocks noChangeAspect="1"/>
        </xdr:cNvPicPr>
      </xdr:nvPicPr>
      <xdr:blipFill>
        <a:blip xmlns:r="http://schemas.openxmlformats.org/officeDocument/2006/relationships" r:embed="rId2"/>
        <a:stretch>
          <a:fillRect/>
        </a:stretch>
      </xdr:blipFill>
      <xdr:spPr>
        <a:xfrm>
          <a:off x="1190625" y="6705599"/>
          <a:ext cx="4856667" cy="31617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54FCAEDC-98D9-4F47-BD7C-6DE1F10EA2B3}"/>
            </a:ext>
          </a:extLst>
        </xdr:cNvPr>
        <xdr:cNvPicPr>
          <a:picLocks noChangeAspect="1"/>
        </xdr:cNvPicPr>
      </xdr:nvPicPr>
      <xdr:blipFill>
        <a:blip xmlns:r="http://schemas.openxmlformats.org/officeDocument/2006/relationships" r:embed="rId1"/>
        <a:stretch>
          <a:fillRect/>
        </a:stretch>
      </xdr:blipFill>
      <xdr:spPr>
        <a:xfrm>
          <a:off x="5695950" y="9896475"/>
          <a:ext cx="877900" cy="4938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1D0E92C3-10E6-4804-922B-176ED8D4F021}"/>
            </a:ext>
          </a:extLst>
        </xdr:cNvPr>
        <xdr:cNvPicPr>
          <a:picLocks noChangeAspect="1"/>
        </xdr:cNvPicPr>
      </xdr:nvPicPr>
      <xdr:blipFill>
        <a:blip xmlns:r="http://schemas.openxmlformats.org/officeDocument/2006/relationships" r:embed="rId1"/>
        <a:stretch>
          <a:fillRect/>
        </a:stretch>
      </xdr:blipFill>
      <xdr:spPr>
        <a:xfrm>
          <a:off x="5695950" y="10229850"/>
          <a:ext cx="877900" cy="4938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209550</xdr:colOff>
      <xdr:row>53</xdr:row>
      <xdr:rowOff>190500</xdr:rowOff>
    </xdr:from>
    <xdr:to>
      <xdr:col>7</xdr:col>
      <xdr:colOff>392125</xdr:colOff>
      <xdr:row>56</xdr:row>
      <xdr:rowOff>84244</xdr:rowOff>
    </xdr:to>
    <xdr:pic>
      <xdr:nvPicPr>
        <xdr:cNvPr id="2" name="Imagem 1">
          <a:extLst>
            <a:ext uri="{FF2B5EF4-FFF2-40B4-BE49-F238E27FC236}">
              <a16:creationId xmlns:a16="http://schemas.microsoft.com/office/drawing/2014/main" xmlns="" id="{9D0578CC-8A32-4A7F-922A-08F258C9D490}"/>
            </a:ext>
          </a:extLst>
        </xdr:cNvPr>
        <xdr:cNvPicPr>
          <a:picLocks noChangeAspect="1"/>
        </xdr:cNvPicPr>
      </xdr:nvPicPr>
      <xdr:blipFill>
        <a:blip xmlns:r="http://schemas.openxmlformats.org/officeDocument/2006/relationships" r:embed="rId1"/>
        <a:stretch>
          <a:fillRect/>
        </a:stretch>
      </xdr:blipFill>
      <xdr:spPr>
        <a:xfrm>
          <a:off x="5829300" y="11144250"/>
          <a:ext cx="877900" cy="4938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161925</xdr:colOff>
      <xdr:row>59</xdr:row>
      <xdr:rowOff>125916</xdr:rowOff>
    </xdr:from>
    <xdr:to>
      <xdr:col>7</xdr:col>
      <xdr:colOff>171450</xdr:colOff>
      <xdr:row>61</xdr:row>
      <xdr:rowOff>131869</xdr:rowOff>
    </xdr:to>
    <xdr:pic>
      <xdr:nvPicPr>
        <xdr:cNvPr id="2" name="Imagem 1">
          <a:extLst>
            <a:ext uri="{FF2B5EF4-FFF2-40B4-BE49-F238E27FC236}">
              <a16:creationId xmlns:a16="http://schemas.microsoft.com/office/drawing/2014/main" xmlns="" id="{CDC55EE4-9E6D-41CC-B32D-44535C8522D3}"/>
            </a:ext>
          </a:extLst>
        </xdr:cNvPr>
        <xdr:cNvPicPr>
          <a:picLocks noChangeAspect="1"/>
        </xdr:cNvPicPr>
      </xdr:nvPicPr>
      <xdr:blipFill>
        <a:blip xmlns:r="http://schemas.openxmlformats.org/officeDocument/2006/relationships" r:embed="rId1"/>
        <a:stretch>
          <a:fillRect/>
        </a:stretch>
      </xdr:blipFill>
      <xdr:spPr>
        <a:xfrm>
          <a:off x="5810250" y="12346491"/>
          <a:ext cx="704850" cy="39647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238125</xdr:colOff>
      <xdr:row>51</xdr:row>
      <xdr:rowOff>57150</xdr:rowOff>
    </xdr:from>
    <xdr:to>
      <xdr:col>7</xdr:col>
      <xdr:colOff>420700</xdr:colOff>
      <xdr:row>53</xdr:row>
      <xdr:rowOff>160444</xdr:rowOff>
    </xdr:to>
    <xdr:pic>
      <xdr:nvPicPr>
        <xdr:cNvPr id="2" name="Imagem 1">
          <a:extLst>
            <a:ext uri="{FF2B5EF4-FFF2-40B4-BE49-F238E27FC236}">
              <a16:creationId xmlns:a16="http://schemas.microsoft.com/office/drawing/2014/main" xmlns="" id="{60D4C218-1999-410C-8CA0-5CDAD36251BE}"/>
            </a:ext>
          </a:extLst>
        </xdr:cNvPr>
        <xdr:cNvPicPr>
          <a:picLocks noChangeAspect="1"/>
        </xdr:cNvPicPr>
      </xdr:nvPicPr>
      <xdr:blipFill>
        <a:blip xmlns:r="http://schemas.openxmlformats.org/officeDocument/2006/relationships" r:embed="rId1"/>
        <a:stretch>
          <a:fillRect/>
        </a:stretch>
      </xdr:blipFill>
      <xdr:spPr>
        <a:xfrm>
          <a:off x="6048375" y="9372600"/>
          <a:ext cx="877900" cy="4938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428625</xdr:colOff>
      <xdr:row>56</xdr:row>
      <xdr:rowOff>57150</xdr:rowOff>
    </xdr:from>
    <xdr:to>
      <xdr:col>6</xdr:col>
      <xdr:colOff>658825</xdr:colOff>
      <xdr:row>58</xdr:row>
      <xdr:rowOff>160444</xdr:rowOff>
    </xdr:to>
    <xdr:pic>
      <xdr:nvPicPr>
        <xdr:cNvPr id="2" name="Imagem 1">
          <a:extLst>
            <a:ext uri="{FF2B5EF4-FFF2-40B4-BE49-F238E27FC236}">
              <a16:creationId xmlns:a16="http://schemas.microsoft.com/office/drawing/2014/main" xmlns="" id="{E1A18ECE-8D50-4637-92F5-9E883E326C27}"/>
            </a:ext>
          </a:extLst>
        </xdr:cNvPr>
        <xdr:cNvPicPr>
          <a:picLocks noChangeAspect="1"/>
        </xdr:cNvPicPr>
      </xdr:nvPicPr>
      <xdr:blipFill>
        <a:blip xmlns:r="http://schemas.openxmlformats.org/officeDocument/2006/relationships" r:embed="rId1"/>
        <a:stretch>
          <a:fillRect/>
        </a:stretch>
      </xdr:blipFill>
      <xdr:spPr>
        <a:xfrm>
          <a:off x="5476875" y="10534650"/>
          <a:ext cx="877900" cy="49381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561975</xdr:colOff>
      <xdr:row>61</xdr:row>
      <xdr:rowOff>66675</xdr:rowOff>
    </xdr:from>
    <xdr:to>
      <xdr:col>7</xdr:col>
      <xdr:colOff>96850</xdr:colOff>
      <xdr:row>63</xdr:row>
      <xdr:rowOff>169969</xdr:rowOff>
    </xdr:to>
    <xdr:pic>
      <xdr:nvPicPr>
        <xdr:cNvPr id="2" name="Imagem 1">
          <a:extLst>
            <a:ext uri="{FF2B5EF4-FFF2-40B4-BE49-F238E27FC236}">
              <a16:creationId xmlns:a16="http://schemas.microsoft.com/office/drawing/2014/main" xmlns="" id="{9F5C48D5-1851-4626-852F-F8986BAE7014}"/>
            </a:ext>
          </a:extLst>
        </xdr:cNvPr>
        <xdr:cNvPicPr>
          <a:picLocks noChangeAspect="1"/>
        </xdr:cNvPicPr>
      </xdr:nvPicPr>
      <xdr:blipFill>
        <a:blip xmlns:r="http://schemas.openxmlformats.org/officeDocument/2006/relationships" r:embed="rId1"/>
        <a:stretch>
          <a:fillRect/>
        </a:stretch>
      </xdr:blipFill>
      <xdr:spPr>
        <a:xfrm>
          <a:off x="5610225" y="10677525"/>
          <a:ext cx="877900" cy="49381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561975</xdr:colOff>
      <xdr:row>61</xdr:row>
      <xdr:rowOff>66675</xdr:rowOff>
    </xdr:from>
    <xdr:to>
      <xdr:col>7</xdr:col>
      <xdr:colOff>96850</xdr:colOff>
      <xdr:row>63</xdr:row>
      <xdr:rowOff>169969</xdr:rowOff>
    </xdr:to>
    <xdr:pic>
      <xdr:nvPicPr>
        <xdr:cNvPr id="2" name="Imagem 1">
          <a:extLst>
            <a:ext uri="{FF2B5EF4-FFF2-40B4-BE49-F238E27FC236}">
              <a16:creationId xmlns:a16="http://schemas.microsoft.com/office/drawing/2014/main" xmlns="" id="{D7ABD7C9-B606-4C9C-9BA4-6D7F3EBB5A48}"/>
            </a:ext>
          </a:extLst>
        </xdr:cNvPr>
        <xdr:cNvPicPr>
          <a:picLocks noChangeAspect="1"/>
        </xdr:cNvPicPr>
      </xdr:nvPicPr>
      <xdr:blipFill>
        <a:blip xmlns:r="http://schemas.openxmlformats.org/officeDocument/2006/relationships" r:embed="rId1"/>
        <a:stretch>
          <a:fillRect/>
        </a:stretch>
      </xdr:blipFill>
      <xdr:spPr>
        <a:xfrm>
          <a:off x="5610225" y="12153900"/>
          <a:ext cx="877900" cy="493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574675</xdr:colOff>
      <xdr:row>62</xdr:row>
      <xdr:rowOff>28575</xdr:rowOff>
    </xdr:from>
    <xdr:to>
      <xdr:col>7</xdr:col>
      <xdr:colOff>106375</xdr:colOff>
      <xdr:row>64</xdr:row>
      <xdr:rowOff>125519</xdr:rowOff>
    </xdr:to>
    <xdr:pic>
      <xdr:nvPicPr>
        <xdr:cNvPr id="3" name="Imagem 2">
          <a:extLst>
            <a:ext uri="{FF2B5EF4-FFF2-40B4-BE49-F238E27FC236}">
              <a16:creationId xmlns:a16="http://schemas.microsoft.com/office/drawing/2014/main" xmlns="" id="{68B40008-A3E4-48F4-81E5-7E291EF69A31}"/>
            </a:ext>
          </a:extLst>
        </xdr:cNvPr>
        <xdr:cNvPicPr>
          <a:picLocks noChangeAspect="1"/>
        </xdr:cNvPicPr>
      </xdr:nvPicPr>
      <xdr:blipFill>
        <a:blip xmlns:r="http://schemas.openxmlformats.org/officeDocument/2006/relationships" r:embed="rId1"/>
        <a:stretch>
          <a:fillRect/>
        </a:stretch>
      </xdr:blipFill>
      <xdr:spPr>
        <a:xfrm>
          <a:off x="5765800" y="10677525"/>
          <a:ext cx="874725" cy="48746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561975</xdr:colOff>
      <xdr:row>61</xdr:row>
      <xdr:rowOff>66675</xdr:rowOff>
    </xdr:from>
    <xdr:to>
      <xdr:col>7</xdr:col>
      <xdr:colOff>96850</xdr:colOff>
      <xdr:row>63</xdr:row>
      <xdr:rowOff>169969</xdr:rowOff>
    </xdr:to>
    <xdr:pic>
      <xdr:nvPicPr>
        <xdr:cNvPr id="2" name="Imagem 1">
          <a:extLst>
            <a:ext uri="{FF2B5EF4-FFF2-40B4-BE49-F238E27FC236}">
              <a16:creationId xmlns:a16="http://schemas.microsoft.com/office/drawing/2014/main" xmlns="" id="{0A12585F-E854-4C40-A31A-3BFE6C82B4CC}"/>
            </a:ext>
          </a:extLst>
        </xdr:cNvPr>
        <xdr:cNvPicPr>
          <a:picLocks noChangeAspect="1"/>
        </xdr:cNvPicPr>
      </xdr:nvPicPr>
      <xdr:blipFill>
        <a:blip xmlns:r="http://schemas.openxmlformats.org/officeDocument/2006/relationships" r:embed="rId1"/>
        <a:stretch>
          <a:fillRect/>
        </a:stretch>
      </xdr:blipFill>
      <xdr:spPr>
        <a:xfrm>
          <a:off x="5610225" y="12153900"/>
          <a:ext cx="877900" cy="49381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219075</xdr:colOff>
      <xdr:row>30</xdr:row>
      <xdr:rowOff>152400</xdr:rowOff>
    </xdr:from>
    <xdr:to>
      <xdr:col>3</xdr:col>
      <xdr:colOff>561975</xdr:colOff>
      <xdr:row>32</xdr:row>
      <xdr:rowOff>85725</xdr:rowOff>
    </xdr:to>
    <xdr:pic>
      <xdr:nvPicPr>
        <xdr:cNvPr id="2" name="Imagem 3">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30481</xdr:colOff>
      <xdr:row>0</xdr:row>
      <xdr:rowOff>0</xdr:rowOff>
    </xdr:from>
    <xdr:to>
      <xdr:col>0</xdr:col>
      <xdr:colOff>807721</xdr:colOff>
      <xdr:row>4</xdr:row>
      <xdr:rowOff>30480</xdr:rowOff>
    </xdr:to>
    <xdr:pic>
      <xdr:nvPicPr>
        <xdr:cNvPr id="3" name="Imagem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30481" y="0"/>
          <a:ext cx="777240" cy="899160"/>
        </a:xfrm>
        <a:prstGeom prst="rect">
          <a:avLst/>
        </a:prstGeom>
      </xdr:spPr>
    </xdr:pic>
    <xdr:clientData/>
  </xdr:twoCellAnchor>
  <xdr:twoCellAnchor>
    <xdr:from>
      <xdr:col>0</xdr:col>
      <xdr:colOff>219075</xdr:colOff>
      <xdr:row>30</xdr:row>
      <xdr:rowOff>152400</xdr:rowOff>
    </xdr:from>
    <xdr:to>
      <xdr:col>3</xdr:col>
      <xdr:colOff>561975</xdr:colOff>
      <xdr:row>32</xdr:row>
      <xdr:rowOff>85725</xdr:rowOff>
    </xdr:to>
    <xdr:pic>
      <xdr:nvPicPr>
        <xdr:cNvPr id="4" name="Imagem 3">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574675</xdr:colOff>
      <xdr:row>48</xdr:row>
      <xdr:rowOff>28575</xdr:rowOff>
    </xdr:from>
    <xdr:to>
      <xdr:col>7</xdr:col>
      <xdr:colOff>106375</xdr:colOff>
      <xdr:row>50</xdr:row>
      <xdr:rowOff>125519</xdr:rowOff>
    </xdr:to>
    <xdr:pic>
      <xdr:nvPicPr>
        <xdr:cNvPr id="2" name="Imagem 1">
          <a:extLst>
            <a:ext uri="{FF2B5EF4-FFF2-40B4-BE49-F238E27FC236}">
              <a16:creationId xmlns:a16="http://schemas.microsoft.com/office/drawing/2014/main" xmlns="" id="{630B46B2-C12B-4F29-A9A8-C126027A9BD1}"/>
            </a:ext>
          </a:extLst>
        </xdr:cNvPr>
        <xdr:cNvPicPr>
          <a:picLocks noChangeAspect="1"/>
        </xdr:cNvPicPr>
      </xdr:nvPicPr>
      <xdr:blipFill>
        <a:blip xmlns:r="http://schemas.openxmlformats.org/officeDocument/2006/relationships" r:embed="rId1"/>
        <a:stretch>
          <a:fillRect/>
        </a:stretch>
      </xdr:blipFill>
      <xdr:spPr>
        <a:xfrm>
          <a:off x="5784850" y="11258550"/>
          <a:ext cx="874725" cy="4874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571500</xdr:colOff>
      <xdr:row>43</xdr:row>
      <xdr:rowOff>152400</xdr:rowOff>
    </xdr:from>
    <xdr:to>
      <xdr:col>7</xdr:col>
      <xdr:colOff>106374</xdr:colOff>
      <xdr:row>46</xdr:row>
      <xdr:rowOff>46144</xdr:rowOff>
    </xdr:to>
    <xdr:pic>
      <xdr:nvPicPr>
        <xdr:cNvPr id="2" name="Imagem 1">
          <a:extLst>
            <a:ext uri="{FF2B5EF4-FFF2-40B4-BE49-F238E27FC236}">
              <a16:creationId xmlns:a16="http://schemas.microsoft.com/office/drawing/2014/main" xmlns="" id="{8BB0F5D5-8717-4A00-867F-B6517AED666E}"/>
            </a:ext>
          </a:extLst>
        </xdr:cNvPr>
        <xdr:cNvPicPr>
          <a:picLocks noChangeAspect="1"/>
        </xdr:cNvPicPr>
      </xdr:nvPicPr>
      <xdr:blipFill>
        <a:blip xmlns:r="http://schemas.openxmlformats.org/officeDocument/2006/relationships" r:embed="rId1"/>
        <a:stretch>
          <a:fillRect/>
        </a:stretch>
      </xdr:blipFill>
      <xdr:spPr>
        <a:xfrm>
          <a:off x="5762625" y="10067925"/>
          <a:ext cx="87790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47625</xdr:colOff>
      <xdr:row>46</xdr:row>
      <xdr:rowOff>190500</xdr:rowOff>
    </xdr:from>
    <xdr:to>
      <xdr:col>7</xdr:col>
      <xdr:colOff>230200</xdr:colOff>
      <xdr:row>49</xdr:row>
      <xdr:rowOff>84244</xdr:rowOff>
    </xdr:to>
    <xdr:pic>
      <xdr:nvPicPr>
        <xdr:cNvPr id="2" name="Imagem 1">
          <a:extLst>
            <a:ext uri="{FF2B5EF4-FFF2-40B4-BE49-F238E27FC236}">
              <a16:creationId xmlns:a16="http://schemas.microsoft.com/office/drawing/2014/main" xmlns="" id="{EB30FF9D-B6F1-45B0-89A9-DAC3F690E5A4}"/>
            </a:ext>
          </a:extLst>
        </xdr:cNvPr>
        <xdr:cNvPicPr>
          <a:picLocks noChangeAspect="1"/>
        </xdr:cNvPicPr>
      </xdr:nvPicPr>
      <xdr:blipFill>
        <a:blip xmlns:r="http://schemas.openxmlformats.org/officeDocument/2006/relationships" r:embed="rId1"/>
        <a:stretch>
          <a:fillRect/>
        </a:stretch>
      </xdr:blipFill>
      <xdr:spPr>
        <a:xfrm>
          <a:off x="5638800" y="10344150"/>
          <a:ext cx="877900" cy="493819"/>
        </a:xfrm>
        <a:prstGeom prst="rect">
          <a:avLst/>
        </a:prstGeom>
      </xdr:spPr>
    </xdr:pic>
    <xdr:clientData/>
  </xdr:twoCellAnchor>
  <xdr:twoCellAnchor editAs="oneCell">
    <xdr:from>
      <xdr:col>0</xdr:col>
      <xdr:colOff>161925</xdr:colOff>
      <xdr:row>25</xdr:row>
      <xdr:rowOff>28575</xdr:rowOff>
    </xdr:from>
    <xdr:to>
      <xdr:col>7</xdr:col>
      <xdr:colOff>347582</xdr:colOff>
      <xdr:row>36</xdr:row>
      <xdr:rowOff>94837</xdr:rowOff>
    </xdr:to>
    <xdr:pic>
      <xdr:nvPicPr>
        <xdr:cNvPr id="3" name="Imagem 2">
          <a:extLst>
            <a:ext uri="{FF2B5EF4-FFF2-40B4-BE49-F238E27FC236}">
              <a16:creationId xmlns:a16="http://schemas.microsoft.com/office/drawing/2014/main" xmlns="" id="{315EF1E0-FF04-C372-954D-898F17A00405}"/>
            </a:ext>
          </a:extLst>
        </xdr:cNvPr>
        <xdr:cNvPicPr>
          <a:picLocks noChangeAspect="1"/>
        </xdr:cNvPicPr>
      </xdr:nvPicPr>
      <xdr:blipFill>
        <a:blip xmlns:r="http://schemas.openxmlformats.org/officeDocument/2006/relationships" r:embed="rId2"/>
        <a:stretch>
          <a:fillRect/>
        </a:stretch>
      </xdr:blipFill>
      <xdr:spPr>
        <a:xfrm>
          <a:off x="161925" y="5419725"/>
          <a:ext cx="6472157" cy="28285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123825</xdr:colOff>
      <xdr:row>50</xdr:row>
      <xdr:rowOff>57150</xdr:rowOff>
    </xdr:from>
    <xdr:to>
      <xdr:col>6</xdr:col>
      <xdr:colOff>354025</xdr:colOff>
      <xdr:row>52</xdr:row>
      <xdr:rowOff>160444</xdr:rowOff>
    </xdr:to>
    <xdr:pic>
      <xdr:nvPicPr>
        <xdr:cNvPr id="2" name="Imagem 1">
          <a:extLst>
            <a:ext uri="{FF2B5EF4-FFF2-40B4-BE49-F238E27FC236}">
              <a16:creationId xmlns:a16="http://schemas.microsoft.com/office/drawing/2014/main" xmlns="" id="{1DDB361B-B732-46CB-9D51-80317FFE08F0}"/>
            </a:ext>
          </a:extLst>
        </xdr:cNvPr>
        <xdr:cNvPicPr>
          <a:picLocks noChangeAspect="1"/>
        </xdr:cNvPicPr>
      </xdr:nvPicPr>
      <xdr:blipFill>
        <a:blip xmlns:r="http://schemas.openxmlformats.org/officeDocument/2006/relationships" r:embed="rId1"/>
        <a:stretch>
          <a:fillRect/>
        </a:stretch>
      </xdr:blipFill>
      <xdr:spPr>
        <a:xfrm>
          <a:off x="5314950" y="10677525"/>
          <a:ext cx="877900" cy="493819"/>
        </a:xfrm>
        <a:prstGeom prst="rect">
          <a:avLst/>
        </a:prstGeom>
      </xdr:spPr>
    </xdr:pic>
    <xdr:clientData/>
  </xdr:twoCellAnchor>
  <xdr:twoCellAnchor editAs="oneCell">
    <xdr:from>
      <xdr:col>1</xdr:col>
      <xdr:colOff>428625</xdr:colOff>
      <xdr:row>24</xdr:row>
      <xdr:rowOff>179931</xdr:rowOff>
    </xdr:from>
    <xdr:to>
      <xdr:col>5</xdr:col>
      <xdr:colOff>342900</xdr:colOff>
      <xdr:row>35</xdr:row>
      <xdr:rowOff>38099</xdr:rowOff>
    </xdr:to>
    <xdr:pic>
      <xdr:nvPicPr>
        <xdr:cNvPr id="4" name="Imagem 3">
          <a:extLst>
            <a:ext uri="{FF2B5EF4-FFF2-40B4-BE49-F238E27FC236}">
              <a16:creationId xmlns:a16="http://schemas.microsoft.com/office/drawing/2014/main" xmlns="" id="{94AD877F-7C16-418A-B0FB-99B98D16407C}"/>
            </a:ext>
          </a:extLst>
        </xdr:cNvPr>
        <xdr:cNvPicPr>
          <a:picLocks noChangeAspect="1"/>
        </xdr:cNvPicPr>
      </xdr:nvPicPr>
      <xdr:blipFill>
        <a:blip xmlns:r="http://schemas.openxmlformats.org/officeDocument/2006/relationships" r:embed="rId2"/>
        <a:stretch>
          <a:fillRect/>
        </a:stretch>
      </xdr:blipFill>
      <xdr:spPr>
        <a:xfrm>
          <a:off x="1247775" y="5037681"/>
          <a:ext cx="4286250" cy="20584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752474</xdr:colOff>
      <xdr:row>27</xdr:row>
      <xdr:rowOff>155061</xdr:rowOff>
    </xdr:from>
    <xdr:to>
      <xdr:col>6</xdr:col>
      <xdr:colOff>61884</xdr:colOff>
      <xdr:row>41</xdr:row>
      <xdr:rowOff>152400</xdr:rowOff>
    </xdr:to>
    <xdr:pic>
      <xdr:nvPicPr>
        <xdr:cNvPr id="2" name="Imagem 1">
          <a:extLst>
            <a:ext uri="{FF2B5EF4-FFF2-40B4-BE49-F238E27FC236}">
              <a16:creationId xmlns:a16="http://schemas.microsoft.com/office/drawing/2014/main" xmlns="" id="{1501393D-49C0-432B-ABE0-C56D1259C504}"/>
            </a:ext>
          </a:extLst>
        </xdr:cNvPr>
        <xdr:cNvPicPr>
          <a:picLocks noChangeAspect="1"/>
        </xdr:cNvPicPr>
      </xdr:nvPicPr>
      <xdr:blipFill>
        <a:blip xmlns:r="http://schemas.openxmlformats.org/officeDocument/2006/relationships" r:embed="rId1"/>
        <a:stretch>
          <a:fillRect/>
        </a:stretch>
      </xdr:blipFill>
      <xdr:spPr>
        <a:xfrm>
          <a:off x="752474" y="5727186"/>
          <a:ext cx="5148235" cy="3350139"/>
        </a:xfrm>
        <a:prstGeom prst="rect">
          <a:avLst/>
        </a:prstGeom>
      </xdr:spPr>
    </xdr:pic>
    <xdr:clientData/>
  </xdr:twoCellAnchor>
  <xdr:twoCellAnchor editAs="oneCell">
    <xdr:from>
      <xdr:col>6</xdr:col>
      <xdr:colOff>0</xdr:colOff>
      <xdr:row>46</xdr:row>
      <xdr:rowOff>0</xdr:rowOff>
    </xdr:from>
    <xdr:to>
      <xdr:col>7</xdr:col>
      <xdr:colOff>182575</xdr:colOff>
      <xdr:row>48</xdr:row>
      <xdr:rowOff>93769</xdr:rowOff>
    </xdr:to>
    <xdr:pic>
      <xdr:nvPicPr>
        <xdr:cNvPr id="3" name="Imagem 2">
          <a:extLst>
            <a:ext uri="{FF2B5EF4-FFF2-40B4-BE49-F238E27FC236}">
              <a16:creationId xmlns:a16="http://schemas.microsoft.com/office/drawing/2014/main" xmlns="" id="{59AFFAD2-4363-46EB-A14B-05AF3DCC9E72}"/>
            </a:ext>
          </a:extLst>
        </xdr:cNvPr>
        <xdr:cNvPicPr>
          <a:picLocks noChangeAspect="1"/>
        </xdr:cNvPicPr>
      </xdr:nvPicPr>
      <xdr:blipFill>
        <a:blip xmlns:r="http://schemas.openxmlformats.org/officeDocument/2006/relationships" r:embed="rId2"/>
        <a:stretch>
          <a:fillRect/>
        </a:stretch>
      </xdr:blipFill>
      <xdr:spPr>
        <a:xfrm>
          <a:off x="5838825" y="9925050"/>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333375</xdr:colOff>
      <xdr:row>23</xdr:row>
      <xdr:rowOff>27552</xdr:rowOff>
    </xdr:from>
    <xdr:to>
      <xdr:col>6</xdr:col>
      <xdr:colOff>142875</xdr:colOff>
      <xdr:row>36</xdr:row>
      <xdr:rowOff>28584</xdr:rowOff>
    </xdr:to>
    <xdr:pic>
      <xdr:nvPicPr>
        <xdr:cNvPr id="3" name="Imagem 2">
          <a:extLst>
            <a:ext uri="{FF2B5EF4-FFF2-40B4-BE49-F238E27FC236}">
              <a16:creationId xmlns:a16="http://schemas.microsoft.com/office/drawing/2014/main" xmlns="" id="{63C7F58F-B9D5-48F4-83C7-58E911CC40EF}"/>
            </a:ext>
          </a:extLst>
        </xdr:cNvPr>
        <xdr:cNvPicPr>
          <a:picLocks noChangeAspect="1"/>
        </xdr:cNvPicPr>
      </xdr:nvPicPr>
      <xdr:blipFill>
        <a:blip xmlns:r="http://schemas.openxmlformats.org/officeDocument/2006/relationships" r:embed="rId1"/>
        <a:stretch>
          <a:fillRect/>
        </a:stretch>
      </xdr:blipFill>
      <xdr:spPr>
        <a:xfrm>
          <a:off x="1152525" y="5018652"/>
          <a:ext cx="4829175" cy="3144282"/>
        </a:xfrm>
        <a:prstGeom prst="rect">
          <a:avLst/>
        </a:prstGeom>
      </xdr:spPr>
    </xdr:pic>
    <xdr:clientData/>
  </xdr:twoCellAnchor>
  <xdr:twoCellAnchor editAs="oneCell">
    <xdr:from>
      <xdr:col>6</xdr:col>
      <xdr:colOff>19050</xdr:colOff>
      <xdr:row>46</xdr:row>
      <xdr:rowOff>95250</xdr:rowOff>
    </xdr:from>
    <xdr:to>
      <xdr:col>7</xdr:col>
      <xdr:colOff>201625</xdr:colOff>
      <xdr:row>48</xdr:row>
      <xdr:rowOff>189019</xdr:rowOff>
    </xdr:to>
    <xdr:pic>
      <xdr:nvPicPr>
        <xdr:cNvPr id="2" name="Imagem 1">
          <a:extLst>
            <a:ext uri="{FF2B5EF4-FFF2-40B4-BE49-F238E27FC236}">
              <a16:creationId xmlns:a16="http://schemas.microsoft.com/office/drawing/2014/main" xmlns="" id="{44BD1A47-5042-44F1-94F5-5E426655B5F0}"/>
            </a:ext>
          </a:extLst>
        </xdr:cNvPr>
        <xdr:cNvPicPr>
          <a:picLocks noChangeAspect="1"/>
        </xdr:cNvPicPr>
      </xdr:nvPicPr>
      <xdr:blipFill>
        <a:blip xmlns:r="http://schemas.openxmlformats.org/officeDocument/2006/relationships" r:embed="rId2"/>
        <a:stretch>
          <a:fillRect/>
        </a:stretch>
      </xdr:blipFill>
      <xdr:spPr>
        <a:xfrm>
          <a:off x="5857875" y="10229850"/>
          <a:ext cx="877900" cy="493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647700</xdr:colOff>
      <xdr:row>23</xdr:row>
      <xdr:rowOff>88788</xdr:rowOff>
    </xdr:from>
    <xdr:to>
      <xdr:col>4</xdr:col>
      <xdr:colOff>638175</xdr:colOff>
      <xdr:row>34</xdr:row>
      <xdr:rowOff>171449</xdr:rowOff>
    </xdr:to>
    <xdr:pic>
      <xdr:nvPicPr>
        <xdr:cNvPr id="4" name="Imagem 3">
          <a:extLst>
            <a:ext uri="{FF2B5EF4-FFF2-40B4-BE49-F238E27FC236}">
              <a16:creationId xmlns:a16="http://schemas.microsoft.com/office/drawing/2014/main" xmlns="" id="{8B40E769-9DC2-4E23-897E-763E63C63B1C}"/>
            </a:ext>
          </a:extLst>
        </xdr:cNvPr>
        <xdr:cNvPicPr>
          <a:picLocks noChangeAspect="1"/>
        </xdr:cNvPicPr>
      </xdr:nvPicPr>
      <xdr:blipFill>
        <a:blip xmlns:r="http://schemas.openxmlformats.org/officeDocument/2006/relationships" r:embed="rId2"/>
        <a:stretch>
          <a:fillRect/>
        </a:stretch>
      </xdr:blipFill>
      <xdr:spPr>
        <a:xfrm>
          <a:off x="1466850" y="5070363"/>
          <a:ext cx="3581400" cy="22734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OneDrive\Documentos\00%20OBRAS%20PASCOAL%202021%202022%202023\35%20-%20MVP%20-%20TCE\000%20Replanilhamentos\Replan%204\00%20Planilha%20final%20TCE\READEQUA&#199;&#195;O%202023%20MVP%20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OneDrive\Documentos\00%20Obras%20Pascoal%202021%202022\35%20-%20MVP%20-%20TCE\Medi&#231;&#245;es\BM13\Memorias%20de%20calculo%20&#193;REAS%20BM13%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EDIÇÃO 01"/>
      <sheetName val="MEDIÇÃO 02"/>
      <sheetName val="MEMORIA DE CALCULO"/>
      <sheetName val="READEQUAÇÃO"/>
      <sheetName val="PLANILHA DE READEQUAÇÃO "/>
      <sheetName val="SERVIÇOS EXTRAS "/>
    </sheetNames>
    <sheetDataSet>
      <sheetData sheetId="0"/>
      <sheetData sheetId="1">
        <row r="35">
          <cell r="C35" t="str">
            <v>M2</v>
          </cell>
        </row>
        <row r="40">
          <cell r="C40" t="str">
            <v>M2</v>
          </cell>
        </row>
      </sheetData>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ÁREAS"/>
    </sheetNames>
    <sheetDataSet>
      <sheetData sheetId="0">
        <row r="27">
          <cell r="L27">
            <v>107.19</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AF109"/>
  <sheetViews>
    <sheetView showGridLines="0" tabSelected="1" view="pageBreakPreview" zoomScale="60" workbookViewId="0">
      <pane xSplit="9" ySplit="10" topLeftCell="J93" activePane="bottomRight" state="frozen"/>
      <selection activeCell="AE28" sqref="AE28"/>
      <selection pane="topRight" activeCell="AE28" sqref="AE28"/>
      <selection pane="bottomLeft" activeCell="AE28" sqref="AE28"/>
      <selection pane="bottomRight" activeCell="AI107" sqref="AI107"/>
    </sheetView>
  </sheetViews>
  <sheetFormatPr defaultRowHeight="16.5"/>
  <cols>
    <col min="1" max="1" width="7.42578125" style="4" customWidth="1"/>
    <col min="2" max="2" width="50.85546875" style="10" customWidth="1"/>
    <col min="3" max="3" width="7.7109375" style="1" bestFit="1" customWidth="1"/>
    <col min="4" max="4" width="12.85546875" style="11" customWidth="1"/>
    <col min="5" max="5" width="16" style="12" customWidth="1"/>
    <col min="6" max="6" width="22" style="10" bestFit="1" customWidth="1"/>
    <col min="7" max="7" width="12.140625" style="13" bestFit="1" customWidth="1"/>
    <col min="8" max="8" width="19.85546875" style="24" bestFit="1" customWidth="1"/>
    <col min="9" max="9" width="12.140625" style="24" bestFit="1" customWidth="1"/>
    <col min="10" max="10" width="21.28515625" style="24" bestFit="1" customWidth="1"/>
    <col min="11" max="11" width="11.140625" style="24" bestFit="1" customWidth="1"/>
    <col min="12" max="12" width="19.7109375" style="4" bestFit="1" customWidth="1"/>
    <col min="13" max="13" width="13.7109375" style="4" bestFit="1" customWidth="1"/>
    <col min="14" max="14" width="10.42578125" style="23" hidden="1" customWidth="1"/>
    <col min="15" max="15" width="9.28515625" style="4" hidden="1" customWidth="1"/>
    <col min="16" max="16" width="13.42578125" style="24" hidden="1" customWidth="1"/>
    <col min="17" max="17" width="9.28515625" style="4" hidden="1" customWidth="1"/>
    <col min="18" max="18" width="10.42578125" style="4" hidden="1" customWidth="1"/>
    <col min="19" max="21" width="11.140625" style="4" hidden="1" customWidth="1"/>
    <col min="22" max="22" width="10" style="4" hidden="1" customWidth="1"/>
    <col min="23" max="24" width="9.7109375" style="4" hidden="1" customWidth="1"/>
    <col min="25" max="25" width="10.42578125" style="4" hidden="1" customWidth="1"/>
    <col min="26" max="26" width="10.7109375" style="4" hidden="1" customWidth="1"/>
    <col min="27" max="27" width="17.42578125" style="4" hidden="1" customWidth="1"/>
    <col min="28" max="28" width="16.140625" style="4" hidden="1" customWidth="1"/>
    <col min="29" max="29" width="15" style="4" hidden="1" customWidth="1"/>
    <col min="30" max="30" width="17.140625" style="4" hidden="1" customWidth="1"/>
    <col min="31" max="31" width="14.7109375" style="4" hidden="1" customWidth="1"/>
    <col min="32" max="32" width="11.85546875" style="4" hidden="1" customWidth="1"/>
    <col min="33" max="183" width="8.85546875" style="4"/>
    <col min="184" max="184" width="11.85546875" style="4" customWidth="1"/>
    <col min="185" max="185" width="49.7109375" style="4" customWidth="1"/>
    <col min="186" max="186" width="9.85546875" style="4" customWidth="1"/>
    <col min="187" max="187" width="15.140625" style="4" customWidth="1"/>
    <col min="188" max="191" width="0" style="4" hidden="1" customWidth="1"/>
    <col min="192" max="192" width="14.28515625" style="4" bestFit="1" customWidth="1"/>
    <col min="193" max="193" width="15.5703125" style="4" bestFit="1" customWidth="1"/>
    <col min="194" max="194" width="19.42578125" style="4" bestFit="1" customWidth="1"/>
    <col min="195" max="195" width="15.85546875" style="4" bestFit="1" customWidth="1"/>
    <col min="196" max="196" width="0" style="4" hidden="1" customWidth="1"/>
    <col min="197" max="197" width="13.28515625" style="4" bestFit="1" customWidth="1"/>
    <col min="198" max="439" width="8.85546875" style="4"/>
    <col min="440" max="440" width="11.85546875" style="4" customWidth="1"/>
    <col min="441" max="441" width="49.7109375" style="4" customWidth="1"/>
    <col min="442" max="442" width="9.85546875" style="4" customWidth="1"/>
    <col min="443" max="443" width="15.140625" style="4" customWidth="1"/>
    <col min="444" max="447" width="0" style="4" hidden="1" customWidth="1"/>
    <col min="448" max="448" width="14.28515625" style="4" bestFit="1" customWidth="1"/>
    <col min="449" max="449" width="15.5703125" style="4" bestFit="1" customWidth="1"/>
    <col min="450" max="450" width="19.42578125" style="4" bestFit="1" customWidth="1"/>
    <col min="451" max="451" width="15.85546875" style="4" bestFit="1" customWidth="1"/>
    <col min="452" max="452" width="0" style="4" hidden="1" customWidth="1"/>
    <col min="453" max="453" width="13.28515625" style="4" bestFit="1" customWidth="1"/>
    <col min="454" max="695" width="8.85546875" style="4"/>
    <col min="696" max="696" width="11.85546875" style="4" customWidth="1"/>
    <col min="697" max="697" width="49.7109375" style="4" customWidth="1"/>
    <col min="698" max="698" width="9.85546875" style="4" customWidth="1"/>
    <col min="699" max="699" width="15.140625" style="4" customWidth="1"/>
    <col min="700" max="703" width="0" style="4" hidden="1" customWidth="1"/>
    <col min="704" max="704" width="14.28515625" style="4" bestFit="1" customWidth="1"/>
    <col min="705" max="705" width="15.5703125" style="4" bestFit="1" customWidth="1"/>
    <col min="706" max="706" width="19.42578125" style="4" bestFit="1" customWidth="1"/>
    <col min="707" max="707" width="15.85546875" style="4" bestFit="1" customWidth="1"/>
    <col min="708" max="708" width="0" style="4" hidden="1" customWidth="1"/>
    <col min="709" max="709" width="13.28515625" style="4" bestFit="1" customWidth="1"/>
    <col min="710" max="951" width="8.85546875" style="4"/>
    <col min="952" max="952" width="11.85546875" style="4" customWidth="1"/>
    <col min="953" max="953" width="49.7109375" style="4" customWidth="1"/>
    <col min="954" max="954" width="9.85546875" style="4" customWidth="1"/>
    <col min="955" max="955" width="15.140625" style="4" customWidth="1"/>
    <col min="956" max="959" width="0" style="4" hidden="1" customWidth="1"/>
    <col min="960" max="960" width="14.28515625" style="4" bestFit="1" customWidth="1"/>
    <col min="961" max="961" width="15.5703125" style="4" bestFit="1" customWidth="1"/>
    <col min="962" max="962" width="19.42578125" style="4" bestFit="1" customWidth="1"/>
    <col min="963" max="963" width="15.85546875" style="4" bestFit="1" customWidth="1"/>
    <col min="964" max="964" width="0" style="4" hidden="1" customWidth="1"/>
    <col min="965" max="965" width="13.28515625" style="4" bestFit="1" customWidth="1"/>
    <col min="966" max="1207" width="8.85546875" style="4"/>
    <col min="1208" max="1208" width="11.85546875" style="4" customWidth="1"/>
    <col min="1209" max="1209" width="49.7109375" style="4" customWidth="1"/>
    <col min="1210" max="1210" width="9.85546875" style="4" customWidth="1"/>
    <col min="1211" max="1211" width="15.140625" style="4" customWidth="1"/>
    <col min="1212" max="1215" width="0" style="4" hidden="1" customWidth="1"/>
    <col min="1216" max="1216" width="14.28515625" style="4" bestFit="1" customWidth="1"/>
    <col min="1217" max="1217" width="15.5703125" style="4" bestFit="1" customWidth="1"/>
    <col min="1218" max="1218" width="19.42578125" style="4" bestFit="1" customWidth="1"/>
    <col min="1219" max="1219" width="15.85546875" style="4" bestFit="1" customWidth="1"/>
    <col min="1220" max="1220" width="0" style="4" hidden="1" customWidth="1"/>
    <col min="1221" max="1221" width="13.28515625" style="4" bestFit="1" customWidth="1"/>
    <col min="1222" max="1463" width="8.85546875" style="4"/>
    <col min="1464" max="1464" width="11.85546875" style="4" customWidth="1"/>
    <col min="1465" max="1465" width="49.7109375" style="4" customWidth="1"/>
    <col min="1466" max="1466" width="9.85546875" style="4" customWidth="1"/>
    <col min="1467" max="1467" width="15.140625" style="4" customWidth="1"/>
    <col min="1468" max="1471" width="0" style="4" hidden="1" customWidth="1"/>
    <col min="1472" max="1472" width="14.28515625" style="4" bestFit="1" customWidth="1"/>
    <col min="1473" max="1473" width="15.5703125" style="4" bestFit="1" customWidth="1"/>
    <col min="1474" max="1474" width="19.42578125" style="4" bestFit="1" customWidth="1"/>
    <col min="1475" max="1475" width="15.85546875" style="4" bestFit="1" customWidth="1"/>
    <col min="1476" max="1476" width="0" style="4" hidden="1" customWidth="1"/>
    <col min="1477" max="1477" width="13.28515625" style="4" bestFit="1" customWidth="1"/>
    <col min="1478" max="1719" width="8.85546875" style="4"/>
    <col min="1720" max="1720" width="11.85546875" style="4" customWidth="1"/>
    <col min="1721" max="1721" width="49.7109375" style="4" customWidth="1"/>
    <col min="1722" max="1722" width="9.85546875" style="4" customWidth="1"/>
    <col min="1723" max="1723" width="15.140625" style="4" customWidth="1"/>
    <col min="1724" max="1727" width="0" style="4" hidden="1" customWidth="1"/>
    <col min="1728" max="1728" width="14.28515625" style="4" bestFit="1" customWidth="1"/>
    <col min="1729" max="1729" width="15.5703125" style="4" bestFit="1" customWidth="1"/>
    <col min="1730" max="1730" width="19.42578125" style="4" bestFit="1" customWidth="1"/>
    <col min="1731" max="1731" width="15.85546875" style="4" bestFit="1" customWidth="1"/>
    <col min="1732" max="1732" width="0" style="4" hidden="1" customWidth="1"/>
    <col min="1733" max="1733" width="13.28515625" style="4" bestFit="1" customWidth="1"/>
    <col min="1734" max="1975" width="8.85546875" style="4"/>
    <col min="1976" max="1976" width="11.85546875" style="4" customWidth="1"/>
    <col min="1977" max="1977" width="49.7109375" style="4" customWidth="1"/>
    <col min="1978" max="1978" width="9.85546875" style="4" customWidth="1"/>
    <col min="1979" max="1979" width="15.140625" style="4" customWidth="1"/>
    <col min="1980" max="1983" width="0" style="4" hidden="1" customWidth="1"/>
    <col min="1984" max="1984" width="14.28515625" style="4" bestFit="1" customWidth="1"/>
    <col min="1985" max="1985" width="15.5703125" style="4" bestFit="1" customWidth="1"/>
    <col min="1986" max="1986" width="19.42578125" style="4" bestFit="1" customWidth="1"/>
    <col min="1987" max="1987" width="15.85546875" style="4" bestFit="1" customWidth="1"/>
    <col min="1988" max="1988" width="0" style="4" hidden="1" customWidth="1"/>
    <col min="1989" max="1989" width="13.28515625" style="4" bestFit="1" customWidth="1"/>
    <col min="1990" max="2231" width="8.85546875" style="4"/>
    <col min="2232" max="2232" width="11.85546875" style="4" customWidth="1"/>
    <col min="2233" max="2233" width="49.7109375" style="4" customWidth="1"/>
    <col min="2234" max="2234" width="9.85546875" style="4" customWidth="1"/>
    <col min="2235" max="2235" width="15.140625" style="4" customWidth="1"/>
    <col min="2236" max="2239" width="0" style="4" hidden="1" customWidth="1"/>
    <col min="2240" max="2240" width="14.28515625" style="4" bestFit="1" customWidth="1"/>
    <col min="2241" max="2241" width="15.5703125" style="4" bestFit="1" customWidth="1"/>
    <col min="2242" max="2242" width="19.42578125" style="4" bestFit="1" customWidth="1"/>
    <col min="2243" max="2243" width="15.85546875" style="4" bestFit="1" customWidth="1"/>
    <col min="2244" max="2244" width="0" style="4" hidden="1" customWidth="1"/>
    <col min="2245" max="2245" width="13.28515625" style="4" bestFit="1" customWidth="1"/>
    <col min="2246" max="2487" width="8.85546875" style="4"/>
    <col min="2488" max="2488" width="11.85546875" style="4" customWidth="1"/>
    <col min="2489" max="2489" width="49.7109375" style="4" customWidth="1"/>
    <col min="2490" max="2490" width="9.85546875" style="4" customWidth="1"/>
    <col min="2491" max="2491" width="15.140625" style="4" customWidth="1"/>
    <col min="2492" max="2495" width="0" style="4" hidden="1" customWidth="1"/>
    <col min="2496" max="2496" width="14.28515625" style="4" bestFit="1" customWidth="1"/>
    <col min="2497" max="2497" width="15.5703125" style="4" bestFit="1" customWidth="1"/>
    <col min="2498" max="2498" width="19.42578125" style="4" bestFit="1" customWidth="1"/>
    <col min="2499" max="2499" width="15.85546875" style="4" bestFit="1" customWidth="1"/>
    <col min="2500" max="2500" width="0" style="4" hidden="1" customWidth="1"/>
    <col min="2501" max="2501" width="13.28515625" style="4" bestFit="1" customWidth="1"/>
    <col min="2502" max="2743" width="8.85546875" style="4"/>
    <col min="2744" max="2744" width="11.85546875" style="4" customWidth="1"/>
    <col min="2745" max="2745" width="49.7109375" style="4" customWidth="1"/>
    <col min="2746" max="2746" width="9.85546875" style="4" customWidth="1"/>
    <col min="2747" max="2747" width="15.140625" style="4" customWidth="1"/>
    <col min="2748" max="2751" width="0" style="4" hidden="1" customWidth="1"/>
    <col min="2752" max="2752" width="14.28515625" style="4" bestFit="1" customWidth="1"/>
    <col min="2753" max="2753" width="15.5703125" style="4" bestFit="1" customWidth="1"/>
    <col min="2754" max="2754" width="19.42578125" style="4" bestFit="1" customWidth="1"/>
    <col min="2755" max="2755" width="15.85546875" style="4" bestFit="1" customWidth="1"/>
    <col min="2756" max="2756" width="0" style="4" hidden="1" customWidth="1"/>
    <col min="2757" max="2757" width="13.28515625" style="4" bestFit="1" customWidth="1"/>
    <col min="2758" max="2999" width="8.85546875" style="4"/>
    <col min="3000" max="3000" width="11.85546875" style="4" customWidth="1"/>
    <col min="3001" max="3001" width="49.7109375" style="4" customWidth="1"/>
    <col min="3002" max="3002" width="9.85546875" style="4" customWidth="1"/>
    <col min="3003" max="3003" width="15.140625" style="4" customWidth="1"/>
    <col min="3004" max="3007" width="0" style="4" hidden="1" customWidth="1"/>
    <col min="3008" max="3008" width="14.28515625" style="4" bestFit="1" customWidth="1"/>
    <col min="3009" max="3009" width="15.5703125" style="4" bestFit="1" customWidth="1"/>
    <col min="3010" max="3010" width="19.42578125" style="4" bestFit="1" customWidth="1"/>
    <col min="3011" max="3011" width="15.85546875" style="4" bestFit="1" customWidth="1"/>
    <col min="3012" max="3012" width="0" style="4" hidden="1" customWidth="1"/>
    <col min="3013" max="3013" width="13.28515625" style="4" bestFit="1" customWidth="1"/>
    <col min="3014" max="3255" width="8.85546875" style="4"/>
    <col min="3256" max="3256" width="11.85546875" style="4" customWidth="1"/>
    <col min="3257" max="3257" width="49.7109375" style="4" customWidth="1"/>
    <col min="3258" max="3258" width="9.85546875" style="4" customWidth="1"/>
    <col min="3259" max="3259" width="15.140625" style="4" customWidth="1"/>
    <col min="3260" max="3263" width="0" style="4" hidden="1" customWidth="1"/>
    <col min="3264" max="3264" width="14.28515625" style="4" bestFit="1" customWidth="1"/>
    <col min="3265" max="3265" width="15.5703125" style="4" bestFit="1" customWidth="1"/>
    <col min="3266" max="3266" width="19.42578125" style="4" bestFit="1" customWidth="1"/>
    <col min="3267" max="3267" width="15.85546875" style="4" bestFit="1" customWidth="1"/>
    <col min="3268" max="3268" width="0" style="4" hidden="1" customWidth="1"/>
    <col min="3269" max="3269" width="13.28515625" style="4" bestFit="1" customWidth="1"/>
    <col min="3270" max="3511" width="8.85546875" style="4"/>
    <col min="3512" max="3512" width="11.85546875" style="4" customWidth="1"/>
    <col min="3513" max="3513" width="49.7109375" style="4" customWidth="1"/>
    <col min="3514" max="3514" width="9.85546875" style="4" customWidth="1"/>
    <col min="3515" max="3515" width="15.140625" style="4" customWidth="1"/>
    <col min="3516" max="3519" width="0" style="4" hidden="1" customWidth="1"/>
    <col min="3520" max="3520" width="14.28515625" style="4" bestFit="1" customWidth="1"/>
    <col min="3521" max="3521" width="15.5703125" style="4" bestFit="1" customWidth="1"/>
    <col min="3522" max="3522" width="19.42578125" style="4" bestFit="1" customWidth="1"/>
    <col min="3523" max="3523" width="15.85546875" style="4" bestFit="1" customWidth="1"/>
    <col min="3524" max="3524" width="0" style="4" hidden="1" customWidth="1"/>
    <col min="3525" max="3525" width="13.28515625" style="4" bestFit="1" customWidth="1"/>
    <col min="3526" max="3767" width="8.85546875" style="4"/>
    <col min="3768" max="3768" width="11.85546875" style="4" customWidth="1"/>
    <col min="3769" max="3769" width="49.7109375" style="4" customWidth="1"/>
    <col min="3770" max="3770" width="9.85546875" style="4" customWidth="1"/>
    <col min="3771" max="3771" width="15.140625" style="4" customWidth="1"/>
    <col min="3772" max="3775" width="0" style="4" hidden="1" customWidth="1"/>
    <col min="3776" max="3776" width="14.28515625" style="4" bestFit="1" customWidth="1"/>
    <col min="3777" max="3777" width="15.5703125" style="4" bestFit="1" customWidth="1"/>
    <col min="3778" max="3778" width="19.42578125" style="4" bestFit="1" customWidth="1"/>
    <col min="3779" max="3779" width="15.85546875" style="4" bestFit="1" customWidth="1"/>
    <col min="3780" max="3780" width="0" style="4" hidden="1" customWidth="1"/>
    <col min="3781" max="3781" width="13.28515625" style="4" bestFit="1" customWidth="1"/>
    <col min="3782" max="4023" width="8.85546875" style="4"/>
    <col min="4024" max="4024" width="11.85546875" style="4" customWidth="1"/>
    <col min="4025" max="4025" width="49.7109375" style="4" customWidth="1"/>
    <col min="4026" max="4026" width="9.85546875" style="4" customWidth="1"/>
    <col min="4027" max="4027" width="15.140625" style="4" customWidth="1"/>
    <col min="4028" max="4031" width="0" style="4" hidden="1" customWidth="1"/>
    <col min="4032" max="4032" width="14.28515625" style="4" bestFit="1" customWidth="1"/>
    <col min="4033" max="4033" width="15.5703125" style="4" bestFit="1" customWidth="1"/>
    <col min="4034" max="4034" width="19.42578125" style="4" bestFit="1" customWidth="1"/>
    <col min="4035" max="4035" width="15.85546875" style="4" bestFit="1" customWidth="1"/>
    <col min="4036" max="4036" width="0" style="4" hidden="1" customWidth="1"/>
    <col min="4037" max="4037" width="13.28515625" style="4" bestFit="1" customWidth="1"/>
    <col min="4038" max="4279" width="8.85546875" style="4"/>
    <col min="4280" max="4280" width="11.85546875" style="4" customWidth="1"/>
    <col min="4281" max="4281" width="49.7109375" style="4" customWidth="1"/>
    <col min="4282" max="4282" width="9.85546875" style="4" customWidth="1"/>
    <col min="4283" max="4283" width="15.140625" style="4" customWidth="1"/>
    <col min="4284" max="4287" width="0" style="4" hidden="1" customWidth="1"/>
    <col min="4288" max="4288" width="14.28515625" style="4" bestFit="1" customWidth="1"/>
    <col min="4289" max="4289" width="15.5703125" style="4" bestFit="1" customWidth="1"/>
    <col min="4290" max="4290" width="19.42578125" style="4" bestFit="1" customWidth="1"/>
    <col min="4291" max="4291" width="15.85546875" style="4" bestFit="1" customWidth="1"/>
    <col min="4292" max="4292" width="0" style="4" hidden="1" customWidth="1"/>
    <col min="4293" max="4293" width="13.28515625" style="4" bestFit="1" customWidth="1"/>
    <col min="4294" max="4535" width="8.85546875" style="4"/>
    <col min="4536" max="4536" width="11.85546875" style="4" customWidth="1"/>
    <col min="4537" max="4537" width="49.7109375" style="4" customWidth="1"/>
    <col min="4538" max="4538" width="9.85546875" style="4" customWidth="1"/>
    <col min="4539" max="4539" width="15.140625" style="4" customWidth="1"/>
    <col min="4540" max="4543" width="0" style="4" hidden="1" customWidth="1"/>
    <col min="4544" max="4544" width="14.28515625" style="4" bestFit="1" customWidth="1"/>
    <col min="4545" max="4545" width="15.5703125" style="4" bestFit="1" customWidth="1"/>
    <col min="4546" max="4546" width="19.42578125" style="4" bestFit="1" customWidth="1"/>
    <col min="4547" max="4547" width="15.85546875" style="4" bestFit="1" customWidth="1"/>
    <col min="4548" max="4548" width="0" style="4" hidden="1" customWidth="1"/>
    <col min="4549" max="4549" width="13.28515625" style="4" bestFit="1" customWidth="1"/>
    <col min="4550" max="4791" width="8.85546875" style="4"/>
    <col min="4792" max="4792" width="11.85546875" style="4" customWidth="1"/>
    <col min="4793" max="4793" width="49.7109375" style="4" customWidth="1"/>
    <col min="4794" max="4794" width="9.85546875" style="4" customWidth="1"/>
    <col min="4795" max="4795" width="15.140625" style="4" customWidth="1"/>
    <col min="4796" max="4799" width="0" style="4" hidden="1" customWidth="1"/>
    <col min="4800" max="4800" width="14.28515625" style="4" bestFit="1" customWidth="1"/>
    <col min="4801" max="4801" width="15.5703125" style="4" bestFit="1" customWidth="1"/>
    <col min="4802" max="4802" width="19.42578125" style="4" bestFit="1" customWidth="1"/>
    <col min="4803" max="4803" width="15.85546875" style="4" bestFit="1" customWidth="1"/>
    <col min="4804" max="4804" width="0" style="4" hidden="1" customWidth="1"/>
    <col min="4805" max="4805" width="13.28515625" style="4" bestFit="1" customWidth="1"/>
    <col min="4806" max="5047" width="8.85546875" style="4"/>
    <col min="5048" max="5048" width="11.85546875" style="4" customWidth="1"/>
    <col min="5049" max="5049" width="49.7109375" style="4" customWidth="1"/>
    <col min="5050" max="5050" width="9.85546875" style="4" customWidth="1"/>
    <col min="5051" max="5051" width="15.140625" style="4" customWidth="1"/>
    <col min="5052" max="5055" width="0" style="4" hidden="1" customWidth="1"/>
    <col min="5056" max="5056" width="14.28515625" style="4" bestFit="1" customWidth="1"/>
    <col min="5057" max="5057" width="15.5703125" style="4" bestFit="1" customWidth="1"/>
    <col min="5058" max="5058" width="19.42578125" style="4" bestFit="1" customWidth="1"/>
    <col min="5059" max="5059" width="15.85546875" style="4" bestFit="1" customWidth="1"/>
    <col min="5060" max="5060" width="0" style="4" hidden="1" customWidth="1"/>
    <col min="5061" max="5061" width="13.28515625" style="4" bestFit="1" customWidth="1"/>
    <col min="5062" max="5303" width="8.85546875" style="4"/>
    <col min="5304" max="5304" width="11.85546875" style="4" customWidth="1"/>
    <col min="5305" max="5305" width="49.7109375" style="4" customWidth="1"/>
    <col min="5306" max="5306" width="9.85546875" style="4" customWidth="1"/>
    <col min="5307" max="5307" width="15.140625" style="4" customWidth="1"/>
    <col min="5308" max="5311" width="0" style="4" hidden="1" customWidth="1"/>
    <col min="5312" max="5312" width="14.28515625" style="4" bestFit="1" customWidth="1"/>
    <col min="5313" max="5313" width="15.5703125" style="4" bestFit="1" customWidth="1"/>
    <col min="5314" max="5314" width="19.42578125" style="4" bestFit="1" customWidth="1"/>
    <col min="5315" max="5315" width="15.85546875" style="4" bestFit="1" customWidth="1"/>
    <col min="5316" max="5316" width="0" style="4" hidden="1" customWidth="1"/>
    <col min="5317" max="5317" width="13.28515625" style="4" bestFit="1" customWidth="1"/>
    <col min="5318" max="5559" width="8.85546875" style="4"/>
    <col min="5560" max="5560" width="11.85546875" style="4" customWidth="1"/>
    <col min="5561" max="5561" width="49.7109375" style="4" customWidth="1"/>
    <col min="5562" max="5562" width="9.85546875" style="4" customWidth="1"/>
    <col min="5563" max="5563" width="15.140625" style="4" customWidth="1"/>
    <col min="5564" max="5567" width="0" style="4" hidden="1" customWidth="1"/>
    <col min="5568" max="5568" width="14.28515625" style="4" bestFit="1" customWidth="1"/>
    <col min="5569" max="5569" width="15.5703125" style="4" bestFit="1" customWidth="1"/>
    <col min="5570" max="5570" width="19.42578125" style="4" bestFit="1" customWidth="1"/>
    <col min="5571" max="5571" width="15.85546875" style="4" bestFit="1" customWidth="1"/>
    <col min="5572" max="5572" width="0" style="4" hidden="1" customWidth="1"/>
    <col min="5573" max="5573" width="13.28515625" style="4" bestFit="1" customWidth="1"/>
    <col min="5574" max="5815" width="8.85546875" style="4"/>
    <col min="5816" max="5816" width="11.85546875" style="4" customWidth="1"/>
    <col min="5817" max="5817" width="49.7109375" style="4" customWidth="1"/>
    <col min="5818" max="5818" width="9.85546875" style="4" customWidth="1"/>
    <col min="5819" max="5819" width="15.140625" style="4" customWidth="1"/>
    <col min="5820" max="5823" width="0" style="4" hidden="1" customWidth="1"/>
    <col min="5824" max="5824" width="14.28515625" style="4" bestFit="1" customWidth="1"/>
    <col min="5825" max="5825" width="15.5703125" style="4" bestFit="1" customWidth="1"/>
    <col min="5826" max="5826" width="19.42578125" style="4" bestFit="1" customWidth="1"/>
    <col min="5827" max="5827" width="15.85546875" style="4" bestFit="1" customWidth="1"/>
    <col min="5828" max="5828" width="0" style="4" hidden="1" customWidth="1"/>
    <col min="5829" max="5829" width="13.28515625" style="4" bestFit="1" customWidth="1"/>
    <col min="5830" max="6071" width="8.85546875" style="4"/>
    <col min="6072" max="6072" width="11.85546875" style="4" customWidth="1"/>
    <col min="6073" max="6073" width="49.7109375" style="4" customWidth="1"/>
    <col min="6074" max="6074" width="9.85546875" style="4" customWidth="1"/>
    <col min="6075" max="6075" width="15.140625" style="4" customWidth="1"/>
    <col min="6076" max="6079" width="0" style="4" hidden="1" customWidth="1"/>
    <col min="6080" max="6080" width="14.28515625" style="4" bestFit="1" customWidth="1"/>
    <col min="6081" max="6081" width="15.5703125" style="4" bestFit="1" customWidth="1"/>
    <col min="6082" max="6082" width="19.42578125" style="4" bestFit="1" customWidth="1"/>
    <col min="6083" max="6083" width="15.85546875" style="4" bestFit="1" customWidth="1"/>
    <col min="6084" max="6084" width="0" style="4" hidden="1" customWidth="1"/>
    <col min="6085" max="6085" width="13.28515625" style="4" bestFit="1" customWidth="1"/>
    <col min="6086" max="6327" width="8.85546875" style="4"/>
    <col min="6328" max="6328" width="11.85546875" style="4" customWidth="1"/>
    <col min="6329" max="6329" width="49.7109375" style="4" customWidth="1"/>
    <col min="6330" max="6330" width="9.85546875" style="4" customWidth="1"/>
    <col min="6331" max="6331" width="15.140625" style="4" customWidth="1"/>
    <col min="6332" max="6335" width="0" style="4" hidden="1" customWidth="1"/>
    <col min="6336" max="6336" width="14.28515625" style="4" bestFit="1" customWidth="1"/>
    <col min="6337" max="6337" width="15.5703125" style="4" bestFit="1" customWidth="1"/>
    <col min="6338" max="6338" width="19.42578125" style="4" bestFit="1" customWidth="1"/>
    <col min="6339" max="6339" width="15.85546875" style="4" bestFit="1" customWidth="1"/>
    <col min="6340" max="6340" width="0" style="4" hidden="1" customWidth="1"/>
    <col min="6341" max="6341" width="13.28515625" style="4" bestFit="1" customWidth="1"/>
    <col min="6342" max="6583" width="8.85546875" style="4"/>
    <col min="6584" max="6584" width="11.85546875" style="4" customWidth="1"/>
    <col min="6585" max="6585" width="49.7109375" style="4" customWidth="1"/>
    <col min="6586" max="6586" width="9.85546875" style="4" customWidth="1"/>
    <col min="6587" max="6587" width="15.140625" style="4" customWidth="1"/>
    <col min="6588" max="6591" width="0" style="4" hidden="1" customWidth="1"/>
    <col min="6592" max="6592" width="14.28515625" style="4" bestFit="1" customWidth="1"/>
    <col min="6593" max="6593" width="15.5703125" style="4" bestFit="1" customWidth="1"/>
    <col min="6594" max="6594" width="19.42578125" style="4" bestFit="1" customWidth="1"/>
    <col min="6595" max="6595" width="15.85546875" style="4" bestFit="1" customWidth="1"/>
    <col min="6596" max="6596" width="0" style="4" hidden="1" customWidth="1"/>
    <col min="6597" max="6597" width="13.28515625" style="4" bestFit="1" customWidth="1"/>
    <col min="6598" max="6839" width="8.85546875" style="4"/>
    <col min="6840" max="6840" width="11.85546875" style="4" customWidth="1"/>
    <col min="6841" max="6841" width="49.7109375" style="4" customWidth="1"/>
    <col min="6842" max="6842" width="9.85546875" style="4" customWidth="1"/>
    <col min="6843" max="6843" width="15.140625" style="4" customWidth="1"/>
    <col min="6844" max="6847" width="0" style="4" hidden="1" customWidth="1"/>
    <col min="6848" max="6848" width="14.28515625" style="4" bestFit="1" customWidth="1"/>
    <col min="6849" max="6849" width="15.5703125" style="4" bestFit="1" customWidth="1"/>
    <col min="6850" max="6850" width="19.42578125" style="4" bestFit="1" customWidth="1"/>
    <col min="6851" max="6851" width="15.85546875" style="4" bestFit="1" customWidth="1"/>
    <col min="6852" max="6852" width="0" style="4" hidden="1" customWidth="1"/>
    <col min="6853" max="6853" width="13.28515625" style="4" bestFit="1" customWidth="1"/>
    <col min="6854" max="7095" width="8.85546875" style="4"/>
    <col min="7096" max="7096" width="11.85546875" style="4" customWidth="1"/>
    <col min="7097" max="7097" width="49.7109375" style="4" customWidth="1"/>
    <col min="7098" max="7098" width="9.85546875" style="4" customWidth="1"/>
    <col min="7099" max="7099" width="15.140625" style="4" customWidth="1"/>
    <col min="7100" max="7103" width="0" style="4" hidden="1" customWidth="1"/>
    <col min="7104" max="7104" width="14.28515625" style="4" bestFit="1" customWidth="1"/>
    <col min="7105" max="7105" width="15.5703125" style="4" bestFit="1" customWidth="1"/>
    <col min="7106" max="7106" width="19.42578125" style="4" bestFit="1" customWidth="1"/>
    <col min="7107" max="7107" width="15.85546875" style="4" bestFit="1" customWidth="1"/>
    <col min="7108" max="7108" width="0" style="4" hidden="1" customWidth="1"/>
    <col min="7109" max="7109" width="13.28515625" style="4" bestFit="1" customWidth="1"/>
    <col min="7110" max="7351" width="8.85546875" style="4"/>
    <col min="7352" max="7352" width="11.85546875" style="4" customWidth="1"/>
    <col min="7353" max="7353" width="49.7109375" style="4" customWidth="1"/>
    <col min="7354" max="7354" width="9.85546875" style="4" customWidth="1"/>
    <col min="7355" max="7355" width="15.140625" style="4" customWidth="1"/>
    <col min="7356" max="7359" width="0" style="4" hidden="1" customWidth="1"/>
    <col min="7360" max="7360" width="14.28515625" style="4" bestFit="1" customWidth="1"/>
    <col min="7361" max="7361" width="15.5703125" style="4" bestFit="1" customWidth="1"/>
    <col min="7362" max="7362" width="19.42578125" style="4" bestFit="1" customWidth="1"/>
    <col min="7363" max="7363" width="15.85546875" style="4" bestFit="1" customWidth="1"/>
    <col min="7364" max="7364" width="0" style="4" hidden="1" customWidth="1"/>
    <col min="7365" max="7365" width="13.28515625" style="4" bestFit="1" customWidth="1"/>
    <col min="7366" max="7607" width="8.85546875" style="4"/>
    <col min="7608" max="7608" width="11.85546875" style="4" customWidth="1"/>
    <col min="7609" max="7609" width="49.7109375" style="4" customWidth="1"/>
    <col min="7610" max="7610" width="9.85546875" style="4" customWidth="1"/>
    <col min="7611" max="7611" width="15.140625" style="4" customWidth="1"/>
    <col min="7612" max="7615" width="0" style="4" hidden="1" customWidth="1"/>
    <col min="7616" max="7616" width="14.28515625" style="4" bestFit="1" customWidth="1"/>
    <col min="7617" max="7617" width="15.5703125" style="4" bestFit="1" customWidth="1"/>
    <col min="7618" max="7618" width="19.42578125" style="4" bestFit="1" customWidth="1"/>
    <col min="7619" max="7619" width="15.85546875" style="4" bestFit="1" customWidth="1"/>
    <col min="7620" max="7620" width="0" style="4" hidden="1" customWidth="1"/>
    <col min="7621" max="7621" width="13.28515625" style="4" bestFit="1" customWidth="1"/>
    <col min="7622" max="7863" width="8.85546875" style="4"/>
    <col min="7864" max="7864" width="11.85546875" style="4" customWidth="1"/>
    <col min="7865" max="7865" width="49.7109375" style="4" customWidth="1"/>
    <col min="7866" max="7866" width="9.85546875" style="4" customWidth="1"/>
    <col min="7867" max="7867" width="15.140625" style="4" customWidth="1"/>
    <col min="7868" max="7871" width="0" style="4" hidden="1" customWidth="1"/>
    <col min="7872" max="7872" width="14.28515625" style="4" bestFit="1" customWidth="1"/>
    <col min="7873" max="7873" width="15.5703125" style="4" bestFit="1" customWidth="1"/>
    <col min="7874" max="7874" width="19.42578125" style="4" bestFit="1" customWidth="1"/>
    <col min="7875" max="7875" width="15.85546875" style="4" bestFit="1" customWidth="1"/>
    <col min="7876" max="7876" width="0" style="4" hidden="1" customWidth="1"/>
    <col min="7877" max="7877" width="13.28515625" style="4" bestFit="1" customWidth="1"/>
    <col min="7878" max="8119" width="8.85546875" style="4"/>
    <col min="8120" max="8120" width="11.85546875" style="4" customWidth="1"/>
    <col min="8121" max="8121" width="49.7109375" style="4" customWidth="1"/>
    <col min="8122" max="8122" width="9.85546875" style="4" customWidth="1"/>
    <col min="8123" max="8123" width="15.140625" style="4" customWidth="1"/>
    <col min="8124" max="8127" width="0" style="4" hidden="1" customWidth="1"/>
    <col min="8128" max="8128" width="14.28515625" style="4" bestFit="1" customWidth="1"/>
    <col min="8129" max="8129" width="15.5703125" style="4" bestFit="1" customWidth="1"/>
    <col min="8130" max="8130" width="19.42578125" style="4" bestFit="1" customWidth="1"/>
    <col min="8131" max="8131" width="15.85546875" style="4" bestFit="1" customWidth="1"/>
    <col min="8132" max="8132" width="0" style="4" hidden="1" customWidth="1"/>
    <col min="8133" max="8133" width="13.28515625" style="4" bestFit="1" customWidth="1"/>
    <col min="8134" max="8375" width="8.85546875" style="4"/>
    <col min="8376" max="8376" width="11.85546875" style="4" customWidth="1"/>
    <col min="8377" max="8377" width="49.7109375" style="4" customWidth="1"/>
    <col min="8378" max="8378" width="9.85546875" style="4" customWidth="1"/>
    <col min="8379" max="8379" width="15.140625" style="4" customWidth="1"/>
    <col min="8380" max="8383" width="0" style="4" hidden="1" customWidth="1"/>
    <col min="8384" max="8384" width="14.28515625" style="4" bestFit="1" customWidth="1"/>
    <col min="8385" max="8385" width="15.5703125" style="4" bestFit="1" customWidth="1"/>
    <col min="8386" max="8386" width="19.42578125" style="4" bestFit="1" customWidth="1"/>
    <col min="8387" max="8387" width="15.85546875" style="4" bestFit="1" customWidth="1"/>
    <col min="8388" max="8388" width="0" style="4" hidden="1" customWidth="1"/>
    <col min="8389" max="8389" width="13.28515625" style="4" bestFit="1" customWidth="1"/>
    <col min="8390" max="8631" width="8.85546875" style="4"/>
    <col min="8632" max="8632" width="11.85546875" style="4" customWidth="1"/>
    <col min="8633" max="8633" width="49.7109375" style="4" customWidth="1"/>
    <col min="8634" max="8634" width="9.85546875" style="4" customWidth="1"/>
    <col min="8635" max="8635" width="15.140625" style="4" customWidth="1"/>
    <col min="8636" max="8639" width="0" style="4" hidden="1" customWidth="1"/>
    <col min="8640" max="8640" width="14.28515625" style="4" bestFit="1" customWidth="1"/>
    <col min="8641" max="8641" width="15.5703125" style="4" bestFit="1" customWidth="1"/>
    <col min="8642" max="8642" width="19.42578125" style="4" bestFit="1" customWidth="1"/>
    <col min="8643" max="8643" width="15.85546875" style="4" bestFit="1" customWidth="1"/>
    <col min="8644" max="8644" width="0" style="4" hidden="1" customWidth="1"/>
    <col min="8645" max="8645" width="13.28515625" style="4" bestFit="1" customWidth="1"/>
    <col min="8646" max="8887" width="8.85546875" style="4"/>
    <col min="8888" max="8888" width="11.85546875" style="4" customWidth="1"/>
    <col min="8889" max="8889" width="49.7109375" style="4" customWidth="1"/>
    <col min="8890" max="8890" width="9.85546875" style="4" customWidth="1"/>
    <col min="8891" max="8891" width="15.140625" style="4" customWidth="1"/>
    <col min="8892" max="8895" width="0" style="4" hidden="1" customWidth="1"/>
    <col min="8896" max="8896" width="14.28515625" style="4" bestFit="1" customWidth="1"/>
    <col min="8897" max="8897" width="15.5703125" style="4" bestFit="1" customWidth="1"/>
    <col min="8898" max="8898" width="19.42578125" style="4" bestFit="1" customWidth="1"/>
    <col min="8899" max="8899" width="15.85546875" style="4" bestFit="1" customWidth="1"/>
    <col min="8900" max="8900" width="0" style="4" hidden="1" customWidth="1"/>
    <col min="8901" max="8901" width="13.28515625" style="4" bestFit="1" customWidth="1"/>
    <col min="8902" max="9143" width="8.85546875" style="4"/>
    <col min="9144" max="9144" width="11.85546875" style="4" customWidth="1"/>
    <col min="9145" max="9145" width="49.7109375" style="4" customWidth="1"/>
    <col min="9146" max="9146" width="9.85546875" style="4" customWidth="1"/>
    <col min="9147" max="9147" width="15.140625" style="4" customWidth="1"/>
    <col min="9148" max="9151" width="0" style="4" hidden="1" customWidth="1"/>
    <col min="9152" max="9152" width="14.28515625" style="4" bestFit="1" customWidth="1"/>
    <col min="9153" max="9153" width="15.5703125" style="4" bestFit="1" customWidth="1"/>
    <col min="9154" max="9154" width="19.42578125" style="4" bestFit="1" customWidth="1"/>
    <col min="9155" max="9155" width="15.85546875" style="4" bestFit="1" customWidth="1"/>
    <col min="9156" max="9156" width="0" style="4" hidden="1" customWidth="1"/>
    <col min="9157" max="9157" width="13.28515625" style="4" bestFit="1" customWidth="1"/>
    <col min="9158" max="9399" width="8.85546875" style="4"/>
    <col min="9400" max="9400" width="11.85546875" style="4" customWidth="1"/>
    <col min="9401" max="9401" width="49.7109375" style="4" customWidth="1"/>
    <col min="9402" max="9402" width="9.85546875" style="4" customWidth="1"/>
    <col min="9403" max="9403" width="15.140625" style="4" customWidth="1"/>
    <col min="9404" max="9407" width="0" style="4" hidden="1" customWidth="1"/>
    <col min="9408" max="9408" width="14.28515625" style="4" bestFit="1" customWidth="1"/>
    <col min="9409" max="9409" width="15.5703125" style="4" bestFit="1" customWidth="1"/>
    <col min="9410" max="9410" width="19.42578125" style="4" bestFit="1" customWidth="1"/>
    <col min="9411" max="9411" width="15.85546875" style="4" bestFit="1" customWidth="1"/>
    <col min="9412" max="9412" width="0" style="4" hidden="1" customWidth="1"/>
    <col min="9413" max="9413" width="13.28515625" style="4" bestFit="1" customWidth="1"/>
    <col min="9414" max="9655" width="8.85546875" style="4"/>
    <col min="9656" max="9656" width="11.85546875" style="4" customWidth="1"/>
    <col min="9657" max="9657" width="49.7109375" style="4" customWidth="1"/>
    <col min="9658" max="9658" width="9.85546875" style="4" customWidth="1"/>
    <col min="9659" max="9659" width="15.140625" style="4" customWidth="1"/>
    <col min="9660" max="9663" width="0" style="4" hidden="1" customWidth="1"/>
    <col min="9664" max="9664" width="14.28515625" style="4" bestFit="1" customWidth="1"/>
    <col min="9665" max="9665" width="15.5703125" style="4" bestFit="1" customWidth="1"/>
    <col min="9666" max="9666" width="19.42578125" style="4" bestFit="1" customWidth="1"/>
    <col min="9667" max="9667" width="15.85546875" style="4" bestFit="1" customWidth="1"/>
    <col min="9668" max="9668" width="0" style="4" hidden="1" customWidth="1"/>
    <col min="9669" max="9669" width="13.28515625" style="4" bestFit="1" customWidth="1"/>
    <col min="9670" max="9911" width="8.85546875" style="4"/>
    <col min="9912" max="9912" width="11.85546875" style="4" customWidth="1"/>
    <col min="9913" max="9913" width="49.7109375" style="4" customWidth="1"/>
    <col min="9914" max="9914" width="9.85546875" style="4" customWidth="1"/>
    <col min="9915" max="9915" width="15.140625" style="4" customWidth="1"/>
    <col min="9916" max="9919" width="0" style="4" hidden="1" customWidth="1"/>
    <col min="9920" max="9920" width="14.28515625" style="4" bestFit="1" customWidth="1"/>
    <col min="9921" max="9921" width="15.5703125" style="4" bestFit="1" customWidth="1"/>
    <col min="9922" max="9922" width="19.42578125" style="4" bestFit="1" customWidth="1"/>
    <col min="9923" max="9923" width="15.85546875" style="4" bestFit="1" customWidth="1"/>
    <col min="9924" max="9924" width="0" style="4" hidden="1" customWidth="1"/>
    <col min="9925" max="9925" width="13.28515625" style="4" bestFit="1" customWidth="1"/>
    <col min="9926" max="10167" width="8.85546875" style="4"/>
    <col min="10168" max="10168" width="11.85546875" style="4" customWidth="1"/>
    <col min="10169" max="10169" width="49.7109375" style="4" customWidth="1"/>
    <col min="10170" max="10170" width="9.85546875" style="4" customWidth="1"/>
    <col min="10171" max="10171" width="15.140625" style="4" customWidth="1"/>
    <col min="10172" max="10175" width="0" style="4" hidden="1" customWidth="1"/>
    <col min="10176" max="10176" width="14.28515625" style="4" bestFit="1" customWidth="1"/>
    <col min="10177" max="10177" width="15.5703125" style="4" bestFit="1" customWidth="1"/>
    <col min="10178" max="10178" width="19.42578125" style="4" bestFit="1" customWidth="1"/>
    <col min="10179" max="10179" width="15.85546875" style="4" bestFit="1" customWidth="1"/>
    <col min="10180" max="10180" width="0" style="4" hidden="1" customWidth="1"/>
    <col min="10181" max="10181" width="13.28515625" style="4" bestFit="1" customWidth="1"/>
    <col min="10182" max="10423" width="8.85546875" style="4"/>
    <col min="10424" max="10424" width="11.85546875" style="4" customWidth="1"/>
    <col min="10425" max="10425" width="49.7109375" style="4" customWidth="1"/>
    <col min="10426" max="10426" width="9.85546875" style="4" customWidth="1"/>
    <col min="10427" max="10427" width="15.140625" style="4" customWidth="1"/>
    <col min="10428" max="10431" width="0" style="4" hidden="1" customWidth="1"/>
    <col min="10432" max="10432" width="14.28515625" style="4" bestFit="1" customWidth="1"/>
    <col min="10433" max="10433" width="15.5703125" style="4" bestFit="1" customWidth="1"/>
    <col min="10434" max="10434" width="19.42578125" style="4" bestFit="1" customWidth="1"/>
    <col min="10435" max="10435" width="15.85546875" style="4" bestFit="1" customWidth="1"/>
    <col min="10436" max="10436" width="0" style="4" hidden="1" customWidth="1"/>
    <col min="10437" max="10437" width="13.28515625" style="4" bestFit="1" customWidth="1"/>
    <col min="10438" max="10679" width="8.85546875" style="4"/>
    <col min="10680" max="10680" width="11.85546875" style="4" customWidth="1"/>
    <col min="10681" max="10681" width="49.7109375" style="4" customWidth="1"/>
    <col min="10682" max="10682" width="9.85546875" style="4" customWidth="1"/>
    <col min="10683" max="10683" width="15.140625" style="4" customWidth="1"/>
    <col min="10684" max="10687" width="0" style="4" hidden="1" customWidth="1"/>
    <col min="10688" max="10688" width="14.28515625" style="4" bestFit="1" customWidth="1"/>
    <col min="10689" max="10689" width="15.5703125" style="4" bestFit="1" customWidth="1"/>
    <col min="10690" max="10690" width="19.42578125" style="4" bestFit="1" customWidth="1"/>
    <col min="10691" max="10691" width="15.85546875" style="4" bestFit="1" customWidth="1"/>
    <col min="10692" max="10692" width="0" style="4" hidden="1" customWidth="1"/>
    <col min="10693" max="10693" width="13.28515625" style="4" bestFit="1" customWidth="1"/>
    <col min="10694" max="10935" width="8.85546875" style="4"/>
    <col min="10936" max="10936" width="11.85546875" style="4" customWidth="1"/>
    <col min="10937" max="10937" width="49.7109375" style="4" customWidth="1"/>
    <col min="10938" max="10938" width="9.85546875" style="4" customWidth="1"/>
    <col min="10939" max="10939" width="15.140625" style="4" customWidth="1"/>
    <col min="10940" max="10943" width="0" style="4" hidden="1" customWidth="1"/>
    <col min="10944" max="10944" width="14.28515625" style="4" bestFit="1" customWidth="1"/>
    <col min="10945" max="10945" width="15.5703125" style="4" bestFit="1" customWidth="1"/>
    <col min="10946" max="10946" width="19.42578125" style="4" bestFit="1" customWidth="1"/>
    <col min="10947" max="10947" width="15.85546875" style="4" bestFit="1" customWidth="1"/>
    <col min="10948" max="10948" width="0" style="4" hidden="1" customWidth="1"/>
    <col min="10949" max="10949" width="13.28515625" style="4" bestFit="1" customWidth="1"/>
    <col min="10950" max="11191" width="8.85546875" style="4"/>
    <col min="11192" max="11192" width="11.85546875" style="4" customWidth="1"/>
    <col min="11193" max="11193" width="49.7109375" style="4" customWidth="1"/>
    <col min="11194" max="11194" width="9.85546875" style="4" customWidth="1"/>
    <col min="11195" max="11195" width="15.140625" style="4" customWidth="1"/>
    <col min="11196" max="11199" width="0" style="4" hidden="1" customWidth="1"/>
    <col min="11200" max="11200" width="14.28515625" style="4" bestFit="1" customWidth="1"/>
    <col min="11201" max="11201" width="15.5703125" style="4" bestFit="1" customWidth="1"/>
    <col min="11202" max="11202" width="19.42578125" style="4" bestFit="1" customWidth="1"/>
    <col min="11203" max="11203" width="15.85546875" style="4" bestFit="1" customWidth="1"/>
    <col min="11204" max="11204" width="0" style="4" hidden="1" customWidth="1"/>
    <col min="11205" max="11205" width="13.28515625" style="4" bestFit="1" customWidth="1"/>
    <col min="11206" max="11447" width="8.85546875" style="4"/>
    <col min="11448" max="11448" width="11.85546875" style="4" customWidth="1"/>
    <col min="11449" max="11449" width="49.7109375" style="4" customWidth="1"/>
    <col min="11450" max="11450" width="9.85546875" style="4" customWidth="1"/>
    <col min="11451" max="11451" width="15.140625" style="4" customWidth="1"/>
    <col min="11452" max="11455" width="0" style="4" hidden="1" customWidth="1"/>
    <col min="11456" max="11456" width="14.28515625" style="4" bestFit="1" customWidth="1"/>
    <col min="11457" max="11457" width="15.5703125" style="4" bestFit="1" customWidth="1"/>
    <col min="11458" max="11458" width="19.42578125" style="4" bestFit="1" customWidth="1"/>
    <col min="11459" max="11459" width="15.85546875" style="4" bestFit="1" customWidth="1"/>
    <col min="11460" max="11460" width="0" style="4" hidden="1" customWidth="1"/>
    <col min="11461" max="11461" width="13.28515625" style="4" bestFit="1" customWidth="1"/>
    <col min="11462" max="11703" width="8.85546875" style="4"/>
    <col min="11704" max="11704" width="11.85546875" style="4" customWidth="1"/>
    <col min="11705" max="11705" width="49.7109375" style="4" customWidth="1"/>
    <col min="11706" max="11706" width="9.85546875" style="4" customWidth="1"/>
    <col min="11707" max="11707" width="15.140625" style="4" customWidth="1"/>
    <col min="11708" max="11711" width="0" style="4" hidden="1" customWidth="1"/>
    <col min="11712" max="11712" width="14.28515625" style="4" bestFit="1" customWidth="1"/>
    <col min="11713" max="11713" width="15.5703125" style="4" bestFit="1" customWidth="1"/>
    <col min="11714" max="11714" width="19.42578125" style="4" bestFit="1" customWidth="1"/>
    <col min="11715" max="11715" width="15.85546875" style="4" bestFit="1" customWidth="1"/>
    <col min="11716" max="11716" width="0" style="4" hidden="1" customWidth="1"/>
    <col min="11717" max="11717" width="13.28515625" style="4" bestFit="1" customWidth="1"/>
    <col min="11718" max="11959" width="8.85546875" style="4"/>
    <col min="11960" max="11960" width="11.85546875" style="4" customWidth="1"/>
    <col min="11961" max="11961" width="49.7109375" style="4" customWidth="1"/>
    <col min="11962" max="11962" width="9.85546875" style="4" customWidth="1"/>
    <col min="11963" max="11963" width="15.140625" style="4" customWidth="1"/>
    <col min="11964" max="11967" width="0" style="4" hidden="1" customWidth="1"/>
    <col min="11968" max="11968" width="14.28515625" style="4" bestFit="1" customWidth="1"/>
    <col min="11969" max="11969" width="15.5703125" style="4" bestFit="1" customWidth="1"/>
    <col min="11970" max="11970" width="19.42578125" style="4" bestFit="1" customWidth="1"/>
    <col min="11971" max="11971" width="15.85546875" style="4" bestFit="1" customWidth="1"/>
    <col min="11972" max="11972" width="0" style="4" hidden="1" customWidth="1"/>
    <col min="11973" max="11973" width="13.28515625" style="4" bestFit="1" customWidth="1"/>
    <col min="11974" max="12215" width="8.85546875" style="4"/>
    <col min="12216" max="12216" width="11.85546875" style="4" customWidth="1"/>
    <col min="12217" max="12217" width="49.7109375" style="4" customWidth="1"/>
    <col min="12218" max="12218" width="9.85546875" style="4" customWidth="1"/>
    <col min="12219" max="12219" width="15.140625" style="4" customWidth="1"/>
    <col min="12220" max="12223" width="0" style="4" hidden="1" customWidth="1"/>
    <col min="12224" max="12224" width="14.28515625" style="4" bestFit="1" customWidth="1"/>
    <col min="12225" max="12225" width="15.5703125" style="4" bestFit="1" customWidth="1"/>
    <col min="12226" max="12226" width="19.42578125" style="4" bestFit="1" customWidth="1"/>
    <col min="12227" max="12227" width="15.85546875" style="4" bestFit="1" customWidth="1"/>
    <col min="12228" max="12228" width="0" style="4" hidden="1" customWidth="1"/>
    <col min="12229" max="12229" width="13.28515625" style="4" bestFit="1" customWidth="1"/>
    <col min="12230" max="12471" width="8.85546875" style="4"/>
    <col min="12472" max="12472" width="11.85546875" style="4" customWidth="1"/>
    <col min="12473" max="12473" width="49.7109375" style="4" customWidth="1"/>
    <col min="12474" max="12474" width="9.85546875" style="4" customWidth="1"/>
    <col min="12475" max="12475" width="15.140625" style="4" customWidth="1"/>
    <col min="12476" max="12479" width="0" style="4" hidden="1" customWidth="1"/>
    <col min="12480" max="12480" width="14.28515625" style="4" bestFit="1" customWidth="1"/>
    <col min="12481" max="12481" width="15.5703125" style="4" bestFit="1" customWidth="1"/>
    <col min="12482" max="12482" width="19.42578125" style="4" bestFit="1" customWidth="1"/>
    <col min="12483" max="12483" width="15.85546875" style="4" bestFit="1" customWidth="1"/>
    <col min="12484" max="12484" width="0" style="4" hidden="1" customWidth="1"/>
    <col min="12485" max="12485" width="13.28515625" style="4" bestFit="1" customWidth="1"/>
    <col min="12486" max="12727" width="8.85546875" style="4"/>
    <col min="12728" max="12728" width="11.85546875" style="4" customWidth="1"/>
    <col min="12729" max="12729" width="49.7109375" style="4" customWidth="1"/>
    <col min="12730" max="12730" width="9.85546875" style="4" customWidth="1"/>
    <col min="12731" max="12731" width="15.140625" style="4" customWidth="1"/>
    <col min="12732" max="12735" width="0" style="4" hidden="1" customWidth="1"/>
    <col min="12736" max="12736" width="14.28515625" style="4" bestFit="1" customWidth="1"/>
    <col min="12737" max="12737" width="15.5703125" style="4" bestFit="1" customWidth="1"/>
    <col min="12738" max="12738" width="19.42578125" style="4" bestFit="1" customWidth="1"/>
    <col min="12739" max="12739" width="15.85546875" style="4" bestFit="1" customWidth="1"/>
    <col min="12740" max="12740" width="0" style="4" hidden="1" customWidth="1"/>
    <col min="12741" max="12741" width="13.28515625" style="4" bestFit="1" customWidth="1"/>
    <col min="12742" max="12983" width="8.85546875" style="4"/>
    <col min="12984" max="12984" width="11.85546875" style="4" customWidth="1"/>
    <col min="12985" max="12985" width="49.7109375" style="4" customWidth="1"/>
    <col min="12986" max="12986" width="9.85546875" style="4" customWidth="1"/>
    <col min="12987" max="12987" width="15.140625" style="4" customWidth="1"/>
    <col min="12988" max="12991" width="0" style="4" hidden="1" customWidth="1"/>
    <col min="12992" max="12992" width="14.28515625" style="4" bestFit="1" customWidth="1"/>
    <col min="12993" max="12993" width="15.5703125" style="4" bestFit="1" customWidth="1"/>
    <col min="12994" max="12994" width="19.42578125" style="4" bestFit="1" customWidth="1"/>
    <col min="12995" max="12995" width="15.85546875" style="4" bestFit="1" customWidth="1"/>
    <col min="12996" max="12996" width="0" style="4" hidden="1" customWidth="1"/>
    <col min="12997" max="12997" width="13.28515625" style="4" bestFit="1" customWidth="1"/>
    <col min="12998" max="13239" width="8.85546875" style="4"/>
    <col min="13240" max="13240" width="11.85546875" style="4" customWidth="1"/>
    <col min="13241" max="13241" width="49.7109375" style="4" customWidth="1"/>
    <col min="13242" max="13242" width="9.85546875" style="4" customWidth="1"/>
    <col min="13243" max="13243" width="15.140625" style="4" customWidth="1"/>
    <col min="13244" max="13247" width="0" style="4" hidden="1" customWidth="1"/>
    <col min="13248" max="13248" width="14.28515625" style="4" bestFit="1" customWidth="1"/>
    <col min="13249" max="13249" width="15.5703125" style="4" bestFit="1" customWidth="1"/>
    <col min="13250" max="13250" width="19.42578125" style="4" bestFit="1" customWidth="1"/>
    <col min="13251" max="13251" width="15.85546875" style="4" bestFit="1" customWidth="1"/>
    <col min="13252" max="13252" width="0" style="4" hidden="1" customWidth="1"/>
    <col min="13253" max="13253" width="13.28515625" style="4" bestFit="1" customWidth="1"/>
    <col min="13254" max="13495" width="8.85546875" style="4"/>
    <col min="13496" max="13496" width="11.85546875" style="4" customWidth="1"/>
    <col min="13497" max="13497" width="49.7109375" style="4" customWidth="1"/>
    <col min="13498" max="13498" width="9.85546875" style="4" customWidth="1"/>
    <col min="13499" max="13499" width="15.140625" style="4" customWidth="1"/>
    <col min="13500" max="13503" width="0" style="4" hidden="1" customWidth="1"/>
    <col min="13504" max="13504" width="14.28515625" style="4" bestFit="1" customWidth="1"/>
    <col min="13505" max="13505" width="15.5703125" style="4" bestFit="1" customWidth="1"/>
    <col min="13506" max="13506" width="19.42578125" style="4" bestFit="1" customWidth="1"/>
    <col min="13507" max="13507" width="15.85546875" style="4" bestFit="1" customWidth="1"/>
    <col min="13508" max="13508" width="0" style="4" hidden="1" customWidth="1"/>
    <col min="13509" max="13509" width="13.28515625" style="4" bestFit="1" customWidth="1"/>
    <col min="13510" max="13751" width="8.85546875" style="4"/>
    <col min="13752" max="13752" width="11.85546875" style="4" customWidth="1"/>
    <col min="13753" max="13753" width="49.7109375" style="4" customWidth="1"/>
    <col min="13754" max="13754" width="9.85546875" style="4" customWidth="1"/>
    <col min="13755" max="13755" width="15.140625" style="4" customWidth="1"/>
    <col min="13756" max="13759" width="0" style="4" hidden="1" customWidth="1"/>
    <col min="13760" max="13760" width="14.28515625" style="4" bestFit="1" customWidth="1"/>
    <col min="13761" max="13761" width="15.5703125" style="4" bestFit="1" customWidth="1"/>
    <col min="13762" max="13762" width="19.42578125" style="4" bestFit="1" customWidth="1"/>
    <col min="13763" max="13763" width="15.85546875" style="4" bestFit="1" customWidth="1"/>
    <col min="13764" max="13764" width="0" style="4" hidden="1" customWidth="1"/>
    <col min="13765" max="13765" width="13.28515625" style="4" bestFit="1" customWidth="1"/>
    <col min="13766" max="14007" width="8.85546875" style="4"/>
    <col min="14008" max="14008" width="11.85546875" style="4" customWidth="1"/>
    <col min="14009" max="14009" width="49.7109375" style="4" customWidth="1"/>
    <col min="14010" max="14010" width="9.85546875" style="4" customWidth="1"/>
    <col min="14011" max="14011" width="15.140625" style="4" customWidth="1"/>
    <col min="14012" max="14015" width="0" style="4" hidden="1" customWidth="1"/>
    <col min="14016" max="14016" width="14.28515625" style="4" bestFit="1" customWidth="1"/>
    <col min="14017" max="14017" width="15.5703125" style="4" bestFit="1" customWidth="1"/>
    <col min="14018" max="14018" width="19.42578125" style="4" bestFit="1" customWidth="1"/>
    <col min="14019" max="14019" width="15.85546875" style="4" bestFit="1" customWidth="1"/>
    <col min="14020" max="14020" width="0" style="4" hidden="1" customWidth="1"/>
    <col min="14021" max="14021" width="13.28515625" style="4" bestFit="1" customWidth="1"/>
    <col min="14022" max="14263" width="8.85546875" style="4"/>
    <col min="14264" max="14264" width="11.85546875" style="4" customWidth="1"/>
    <col min="14265" max="14265" width="49.7109375" style="4" customWidth="1"/>
    <col min="14266" max="14266" width="9.85546875" style="4" customWidth="1"/>
    <col min="14267" max="14267" width="15.140625" style="4" customWidth="1"/>
    <col min="14268" max="14271" width="0" style="4" hidden="1" customWidth="1"/>
    <col min="14272" max="14272" width="14.28515625" style="4" bestFit="1" customWidth="1"/>
    <col min="14273" max="14273" width="15.5703125" style="4" bestFit="1" customWidth="1"/>
    <col min="14274" max="14274" width="19.42578125" style="4" bestFit="1" customWidth="1"/>
    <col min="14275" max="14275" width="15.85546875" style="4" bestFit="1" customWidth="1"/>
    <col min="14276" max="14276" width="0" style="4" hidden="1" customWidth="1"/>
    <col min="14277" max="14277" width="13.28515625" style="4" bestFit="1" customWidth="1"/>
    <col min="14278" max="14519" width="8.85546875" style="4"/>
    <col min="14520" max="14520" width="11.85546875" style="4" customWidth="1"/>
    <col min="14521" max="14521" width="49.7109375" style="4" customWidth="1"/>
    <col min="14522" max="14522" width="9.85546875" style="4" customWidth="1"/>
    <col min="14523" max="14523" width="15.140625" style="4" customWidth="1"/>
    <col min="14524" max="14527" width="0" style="4" hidden="1" customWidth="1"/>
    <col min="14528" max="14528" width="14.28515625" style="4" bestFit="1" customWidth="1"/>
    <col min="14529" max="14529" width="15.5703125" style="4" bestFit="1" customWidth="1"/>
    <col min="14530" max="14530" width="19.42578125" style="4" bestFit="1" customWidth="1"/>
    <col min="14531" max="14531" width="15.85546875" style="4" bestFit="1" customWidth="1"/>
    <col min="14532" max="14532" width="0" style="4" hidden="1" customWidth="1"/>
    <col min="14533" max="14533" width="13.28515625" style="4" bestFit="1" customWidth="1"/>
    <col min="14534" max="14775" width="8.85546875" style="4"/>
    <col min="14776" max="14776" width="11.85546875" style="4" customWidth="1"/>
    <col min="14777" max="14777" width="49.7109375" style="4" customWidth="1"/>
    <col min="14778" max="14778" width="9.85546875" style="4" customWidth="1"/>
    <col min="14779" max="14779" width="15.140625" style="4" customWidth="1"/>
    <col min="14780" max="14783" width="0" style="4" hidden="1" customWidth="1"/>
    <col min="14784" max="14784" width="14.28515625" style="4" bestFit="1" customWidth="1"/>
    <col min="14785" max="14785" width="15.5703125" style="4" bestFit="1" customWidth="1"/>
    <col min="14786" max="14786" width="19.42578125" style="4" bestFit="1" customWidth="1"/>
    <col min="14787" max="14787" width="15.85546875" style="4" bestFit="1" customWidth="1"/>
    <col min="14788" max="14788" width="0" style="4" hidden="1" customWidth="1"/>
    <col min="14789" max="14789" width="13.28515625" style="4" bestFit="1" customWidth="1"/>
    <col min="14790" max="15031" width="8.85546875" style="4"/>
    <col min="15032" max="15032" width="11.85546875" style="4" customWidth="1"/>
    <col min="15033" max="15033" width="49.7109375" style="4" customWidth="1"/>
    <col min="15034" max="15034" width="9.85546875" style="4" customWidth="1"/>
    <col min="15035" max="15035" width="15.140625" style="4" customWidth="1"/>
    <col min="15036" max="15039" width="0" style="4" hidden="1" customWidth="1"/>
    <col min="15040" max="15040" width="14.28515625" style="4" bestFit="1" customWidth="1"/>
    <col min="15041" max="15041" width="15.5703125" style="4" bestFit="1" customWidth="1"/>
    <col min="15042" max="15042" width="19.42578125" style="4" bestFit="1" customWidth="1"/>
    <col min="15043" max="15043" width="15.85546875" style="4" bestFit="1" customWidth="1"/>
    <col min="15044" max="15044" width="0" style="4" hidden="1" customWidth="1"/>
    <col min="15045" max="15045" width="13.28515625" style="4" bestFit="1" customWidth="1"/>
    <col min="15046" max="15287" width="8.85546875" style="4"/>
    <col min="15288" max="15288" width="11.85546875" style="4" customWidth="1"/>
    <col min="15289" max="15289" width="49.7109375" style="4" customWidth="1"/>
    <col min="15290" max="15290" width="9.85546875" style="4" customWidth="1"/>
    <col min="15291" max="15291" width="15.140625" style="4" customWidth="1"/>
    <col min="15292" max="15295" width="0" style="4" hidden="1" customWidth="1"/>
    <col min="15296" max="15296" width="14.28515625" style="4" bestFit="1" customWidth="1"/>
    <col min="15297" max="15297" width="15.5703125" style="4" bestFit="1" customWidth="1"/>
    <col min="15298" max="15298" width="19.42578125" style="4" bestFit="1" customWidth="1"/>
    <col min="15299" max="15299" width="15.85546875" style="4" bestFit="1" customWidth="1"/>
    <col min="15300" max="15300" width="0" style="4" hidden="1" customWidth="1"/>
    <col min="15301" max="15301" width="13.28515625" style="4" bestFit="1" customWidth="1"/>
    <col min="15302" max="15543" width="8.85546875" style="4"/>
    <col min="15544" max="15544" width="11.85546875" style="4" customWidth="1"/>
    <col min="15545" max="15545" width="49.7109375" style="4" customWidth="1"/>
    <col min="15546" max="15546" width="9.85546875" style="4" customWidth="1"/>
    <col min="15547" max="15547" width="15.140625" style="4" customWidth="1"/>
    <col min="15548" max="15551" width="0" style="4" hidden="1" customWidth="1"/>
    <col min="15552" max="15552" width="14.28515625" style="4" bestFit="1" customWidth="1"/>
    <col min="15553" max="15553" width="15.5703125" style="4" bestFit="1" customWidth="1"/>
    <col min="15554" max="15554" width="19.42578125" style="4" bestFit="1" customWidth="1"/>
    <col min="15555" max="15555" width="15.85546875" style="4" bestFit="1" customWidth="1"/>
    <col min="15556" max="15556" width="0" style="4" hidden="1" customWidth="1"/>
    <col min="15557" max="15557" width="13.28515625" style="4" bestFit="1" customWidth="1"/>
    <col min="15558" max="15799" width="8.85546875" style="4"/>
    <col min="15800" max="15800" width="11.85546875" style="4" customWidth="1"/>
    <col min="15801" max="15801" width="49.7109375" style="4" customWidth="1"/>
    <col min="15802" max="15802" width="9.85546875" style="4" customWidth="1"/>
    <col min="15803" max="15803" width="15.140625" style="4" customWidth="1"/>
    <col min="15804" max="15807" width="0" style="4" hidden="1" customWidth="1"/>
    <col min="15808" max="15808" width="14.28515625" style="4" bestFit="1" customWidth="1"/>
    <col min="15809" max="15809" width="15.5703125" style="4" bestFit="1" customWidth="1"/>
    <col min="15810" max="15810" width="19.42578125" style="4" bestFit="1" customWidth="1"/>
    <col min="15811" max="15811" width="15.85546875" style="4" bestFit="1" customWidth="1"/>
    <col min="15812" max="15812" width="0" style="4" hidden="1" customWidth="1"/>
    <col min="15813" max="15813" width="13.28515625" style="4" bestFit="1" customWidth="1"/>
    <col min="15814" max="16055" width="8.85546875" style="4"/>
    <col min="16056" max="16056" width="11.85546875" style="4" customWidth="1"/>
    <col min="16057" max="16057" width="49.7109375" style="4" customWidth="1"/>
    <col min="16058" max="16058" width="9.85546875" style="4" customWidth="1"/>
    <col min="16059" max="16059" width="15.140625" style="4" customWidth="1"/>
    <col min="16060" max="16063" width="0" style="4" hidden="1" customWidth="1"/>
    <col min="16064" max="16064" width="14.28515625" style="4" bestFit="1" customWidth="1"/>
    <col min="16065" max="16065" width="15.5703125" style="4" bestFit="1" customWidth="1"/>
    <col min="16066" max="16066" width="19.42578125" style="4" bestFit="1" customWidth="1"/>
    <col min="16067" max="16067" width="15.85546875" style="4" bestFit="1" customWidth="1"/>
    <col min="16068" max="16068" width="0" style="4" hidden="1" customWidth="1"/>
    <col min="16069" max="16069" width="13.28515625" style="4" bestFit="1" customWidth="1"/>
    <col min="16070" max="16322" width="8.85546875" style="4"/>
    <col min="16323" max="16327" width="9.140625" style="4" customWidth="1"/>
    <col min="16328" max="16328" width="8.85546875" style="4"/>
    <col min="16329" max="16334" width="9.140625" style="4" customWidth="1"/>
    <col min="16335" max="16354" width="8.85546875" style="4"/>
    <col min="16355" max="16384" width="8.85546875" style="4" customWidth="1"/>
  </cols>
  <sheetData>
    <row r="1" spans="1:32">
      <c r="A1" s="93"/>
      <c r="B1" s="94"/>
      <c r="C1" s="95"/>
      <c r="D1" s="96"/>
      <c r="E1" s="97"/>
      <c r="F1" s="131" t="s">
        <v>176</v>
      </c>
      <c r="G1" s="98"/>
      <c r="H1" s="87"/>
      <c r="I1" s="87"/>
      <c r="J1" s="87"/>
      <c r="K1" s="87"/>
      <c r="L1" s="99"/>
      <c r="M1" s="100"/>
    </row>
    <row r="2" spans="1:32">
      <c r="A2" s="93"/>
      <c r="B2" s="294" t="s">
        <v>49</v>
      </c>
      <c r="C2" s="294"/>
      <c r="D2" s="294"/>
      <c r="E2" s="294"/>
      <c r="F2" s="294"/>
      <c r="G2" s="294"/>
      <c r="H2" s="294"/>
      <c r="I2" s="294"/>
      <c r="J2" s="294"/>
      <c r="K2" s="294"/>
      <c r="L2" s="294"/>
      <c r="M2" s="295"/>
    </row>
    <row r="3" spans="1:32">
      <c r="A3" s="25"/>
      <c r="B3" s="296" t="s">
        <v>6</v>
      </c>
      <c r="C3" s="296"/>
      <c r="D3" s="296"/>
      <c r="E3" s="296"/>
      <c r="F3" s="296"/>
      <c r="G3" s="296"/>
      <c r="H3" s="296"/>
      <c r="I3" s="296"/>
      <c r="J3" s="296"/>
      <c r="K3" s="296"/>
      <c r="L3" s="296"/>
      <c r="M3" s="297"/>
    </row>
    <row r="4" spans="1:32">
      <c r="A4" s="25"/>
      <c r="B4" s="296" t="s">
        <v>0</v>
      </c>
      <c r="C4" s="296"/>
      <c r="D4" s="296"/>
      <c r="E4" s="296"/>
      <c r="F4" s="296"/>
      <c r="G4" s="296"/>
      <c r="H4" s="296"/>
      <c r="I4" s="296"/>
      <c r="J4" s="296"/>
      <c r="K4" s="296"/>
      <c r="L4" s="296"/>
      <c r="M4" s="297"/>
      <c r="N4" s="130" t="s">
        <v>176</v>
      </c>
    </row>
    <row r="5" spans="1:32">
      <c r="A5" s="86"/>
      <c r="B5" s="296" t="s">
        <v>104</v>
      </c>
      <c r="C5" s="296"/>
      <c r="D5" s="296"/>
      <c r="E5" s="296"/>
      <c r="F5" s="296"/>
      <c r="G5" s="296"/>
      <c r="H5" s="296"/>
      <c r="I5" s="296"/>
      <c r="J5" s="296"/>
      <c r="K5" s="296"/>
      <c r="L5" s="296"/>
      <c r="M5" s="297"/>
    </row>
    <row r="6" spans="1:32">
      <c r="A6" s="298" t="s">
        <v>469</v>
      </c>
      <c r="B6" s="292"/>
      <c r="C6" s="292"/>
      <c r="D6" s="292"/>
      <c r="E6" s="292"/>
      <c r="F6" s="292"/>
      <c r="G6" s="292"/>
      <c r="H6" s="292"/>
      <c r="I6" s="292"/>
      <c r="J6" s="292"/>
      <c r="K6" s="292"/>
      <c r="L6" s="292"/>
      <c r="M6" s="292"/>
    </row>
    <row r="7" spans="1:32">
      <c r="A7" s="293"/>
      <c r="B7" s="293"/>
      <c r="C7" s="293"/>
      <c r="D7" s="293"/>
      <c r="E7" s="293"/>
      <c r="F7" s="293"/>
      <c r="G7" s="293"/>
      <c r="H7" s="293"/>
      <c r="I7" s="293"/>
      <c r="J7" s="293"/>
      <c r="K7" s="293"/>
      <c r="L7" s="293"/>
      <c r="M7" s="293"/>
    </row>
    <row r="8" spans="1:32">
      <c r="A8" s="291" t="s">
        <v>3</v>
      </c>
      <c r="B8" s="291" t="s">
        <v>4</v>
      </c>
      <c r="C8" s="291" t="s">
        <v>8</v>
      </c>
      <c r="D8" s="291" t="s">
        <v>218</v>
      </c>
      <c r="E8" s="309" t="s">
        <v>11</v>
      </c>
      <c r="F8" s="309" t="s">
        <v>217</v>
      </c>
      <c r="G8" s="303" t="s">
        <v>468</v>
      </c>
      <c r="H8" s="304"/>
      <c r="I8" s="303" t="s">
        <v>157</v>
      </c>
      <c r="J8" s="304"/>
      <c r="K8" s="312" t="s">
        <v>110</v>
      </c>
      <c r="L8" s="312"/>
      <c r="M8" s="312"/>
    </row>
    <row r="9" spans="1:32" ht="17.25" thickBot="1">
      <c r="A9" s="292"/>
      <c r="B9" s="292"/>
      <c r="C9" s="292"/>
      <c r="D9" s="292"/>
      <c r="E9" s="310"/>
      <c r="F9" s="310"/>
      <c r="G9" s="305"/>
      <c r="H9" s="306"/>
      <c r="I9" s="305"/>
      <c r="J9" s="306"/>
      <c r="K9" s="312"/>
      <c r="L9" s="312"/>
      <c r="M9" s="312"/>
    </row>
    <row r="10" spans="1:32">
      <c r="A10" s="293"/>
      <c r="B10" s="293"/>
      <c r="C10" s="293"/>
      <c r="D10" s="293"/>
      <c r="E10" s="311"/>
      <c r="F10" s="311"/>
      <c r="G10" s="101" t="s">
        <v>108</v>
      </c>
      <c r="H10" s="88" t="s">
        <v>109</v>
      </c>
      <c r="I10" s="101" t="s">
        <v>159</v>
      </c>
      <c r="J10" s="88" t="s">
        <v>158</v>
      </c>
      <c r="K10" s="88" t="s">
        <v>44</v>
      </c>
      <c r="L10" s="101" t="s">
        <v>111</v>
      </c>
      <c r="M10" s="101" t="s">
        <v>112</v>
      </c>
      <c r="N10" s="286" t="s">
        <v>238</v>
      </c>
      <c r="O10" s="282" t="s">
        <v>239</v>
      </c>
      <c r="P10" s="282" t="s">
        <v>240</v>
      </c>
      <c r="Q10" s="282" t="s">
        <v>241</v>
      </c>
      <c r="R10" s="282" t="s">
        <v>244</v>
      </c>
      <c r="S10" s="282" t="s">
        <v>267</v>
      </c>
      <c r="T10" s="282" t="s">
        <v>268</v>
      </c>
      <c r="U10" s="282" t="s">
        <v>300</v>
      </c>
      <c r="V10" s="282" t="s">
        <v>301</v>
      </c>
      <c r="W10" s="282" t="s">
        <v>312</v>
      </c>
      <c r="X10" s="282" t="s">
        <v>314</v>
      </c>
      <c r="Y10" s="282" t="s">
        <v>318</v>
      </c>
      <c r="Z10" s="282" t="s">
        <v>326</v>
      </c>
      <c r="AA10" s="282" t="s">
        <v>329</v>
      </c>
      <c r="AB10" s="282" t="s">
        <v>337</v>
      </c>
      <c r="AC10" s="282" t="s">
        <v>338</v>
      </c>
      <c r="AD10" s="282" t="s">
        <v>371</v>
      </c>
      <c r="AE10" s="282" t="s">
        <v>372</v>
      </c>
      <c r="AF10" s="282" t="s">
        <v>374</v>
      </c>
    </row>
    <row r="11" spans="1:32">
      <c r="A11" s="102">
        <v>1</v>
      </c>
      <c r="B11" s="103" t="s">
        <v>55</v>
      </c>
      <c r="C11" s="103"/>
      <c r="D11" s="104"/>
      <c r="E11" s="105"/>
      <c r="F11" s="89">
        <f>SUM(F12:F26)</f>
        <v>404559.16000000003</v>
      </c>
      <c r="G11" s="106"/>
      <c r="H11" s="89">
        <f>TRUNC(SUM(H12:H26),2)</f>
        <v>886.35</v>
      </c>
      <c r="I11" s="89"/>
      <c r="J11" s="89">
        <f>TRUNC(SUM(J12:J26),2)</f>
        <v>396327.97</v>
      </c>
      <c r="K11" s="154"/>
      <c r="L11" s="89">
        <f>TRUNC(SUM(L12:L26),2)</f>
        <v>8231.15</v>
      </c>
      <c r="M11" s="145">
        <f>(F11-J11)/F11</f>
        <v>2.0346072500249557E-2</v>
      </c>
      <c r="N11" s="287"/>
      <c r="O11" s="288"/>
      <c r="P11" s="288"/>
      <c r="Q11" s="288"/>
      <c r="R11" s="288"/>
      <c r="S11" s="288"/>
      <c r="T11" s="288"/>
      <c r="U11" s="288"/>
      <c r="V11" s="288"/>
      <c r="W11" s="288"/>
      <c r="X11" s="288"/>
      <c r="Y11" s="283"/>
      <c r="Z11" s="283"/>
      <c r="AA11" s="283"/>
      <c r="AB11" s="283"/>
      <c r="AC11" s="283"/>
      <c r="AD11" s="283"/>
      <c r="AE11" s="283"/>
      <c r="AF11" s="283"/>
    </row>
    <row r="12" spans="1:32" ht="25.5">
      <c r="A12" s="108">
        <v>101</v>
      </c>
      <c r="B12" s="109" t="s">
        <v>56</v>
      </c>
      <c r="C12" s="108" t="s">
        <v>10</v>
      </c>
      <c r="D12" s="110">
        <v>1</v>
      </c>
      <c r="E12" s="90">
        <v>362.55</v>
      </c>
      <c r="F12" s="90">
        <f t="shared" ref="F12:F26" si="0">TRUNC(D12 * E12, 2)</f>
        <v>362.55</v>
      </c>
      <c r="G12" s="112">
        <f>AE12</f>
        <v>0</v>
      </c>
      <c r="H12" s="90">
        <f t="shared" ref="H12:H26" si="1">TRUNC(G12*E12,2)</f>
        <v>0</v>
      </c>
      <c r="I12" s="92">
        <f>SUM(N12:AE12)</f>
        <v>1</v>
      </c>
      <c r="J12" s="90">
        <f t="shared" ref="J12:J26" si="2">TRUNC(I12*E12,2)</f>
        <v>362.55</v>
      </c>
      <c r="K12" s="91">
        <f>D12-I12</f>
        <v>0</v>
      </c>
      <c r="L12" s="90">
        <f t="shared" ref="L12:L26" si="3">TRUNC(K12*E12,2)</f>
        <v>0</v>
      </c>
      <c r="M12" s="107">
        <f>(F12-J12)/F12</f>
        <v>0</v>
      </c>
      <c r="N12" s="198">
        <v>1</v>
      </c>
      <c r="O12" s="149"/>
      <c r="P12" s="149"/>
      <c r="Q12" s="137"/>
      <c r="R12" s="192"/>
      <c r="S12" s="192"/>
      <c r="T12" s="192"/>
      <c r="U12" s="192"/>
      <c r="V12" s="192"/>
      <c r="W12" s="192"/>
      <c r="X12" s="192"/>
      <c r="Y12" s="137"/>
      <c r="Z12" s="137"/>
      <c r="AA12" s="137"/>
      <c r="AB12" s="137"/>
      <c r="AC12" s="137"/>
      <c r="AD12" s="137"/>
      <c r="AE12" s="137"/>
      <c r="AF12" s="137"/>
    </row>
    <row r="13" spans="1:32" ht="25.5">
      <c r="A13" s="108">
        <v>102</v>
      </c>
      <c r="B13" s="109" t="s">
        <v>57</v>
      </c>
      <c r="C13" s="108" t="s">
        <v>99</v>
      </c>
      <c r="D13" s="110">
        <v>4300</v>
      </c>
      <c r="E13" s="90">
        <v>14.19</v>
      </c>
      <c r="F13" s="90">
        <f t="shared" si="0"/>
        <v>61017</v>
      </c>
      <c r="G13" s="112">
        <f>AF13</f>
        <v>59.17</v>
      </c>
      <c r="H13" s="90">
        <f t="shared" si="1"/>
        <v>839.62</v>
      </c>
      <c r="I13" s="92">
        <f>SUM(N13:AF13)</f>
        <v>4027.4872999999998</v>
      </c>
      <c r="J13" s="90">
        <f t="shared" si="2"/>
        <v>57150.04</v>
      </c>
      <c r="K13" s="91">
        <f t="shared" ref="K13:K26" si="4">D13-I13</f>
        <v>272.51270000000022</v>
      </c>
      <c r="L13" s="90">
        <f t="shared" si="3"/>
        <v>3866.95</v>
      </c>
      <c r="M13" s="107">
        <f>(D13-I13)/D13</f>
        <v>6.3375046511627953E-2</v>
      </c>
      <c r="N13" s="198">
        <v>264.18</v>
      </c>
      <c r="O13" s="150">
        <v>509.74</v>
      </c>
      <c r="P13" s="150">
        <v>262.74</v>
      </c>
      <c r="Q13" s="143">
        <v>211.01</v>
      </c>
      <c r="R13" s="192">
        <v>642.59730000000013</v>
      </c>
      <c r="S13" s="192">
        <v>352.58999999999969</v>
      </c>
      <c r="T13" s="192">
        <v>433.51000000000022</v>
      </c>
      <c r="U13" s="192">
        <v>424.41599999999971</v>
      </c>
      <c r="V13" s="192">
        <v>237.33000000000038</v>
      </c>
      <c r="W13" s="192">
        <v>13.599999999999454</v>
      </c>
      <c r="X13" s="192"/>
      <c r="Y13" s="137">
        <v>277.09750000000076</v>
      </c>
      <c r="Z13" s="137">
        <v>69.606499999999869</v>
      </c>
      <c r="AA13" s="137">
        <v>88.2199999999998</v>
      </c>
      <c r="AB13" s="137"/>
      <c r="AC13" s="137"/>
      <c r="AD13" s="137">
        <v>181.68</v>
      </c>
      <c r="AE13" s="137"/>
      <c r="AF13" s="137">
        <v>59.17</v>
      </c>
    </row>
    <row r="14" spans="1:32" ht="25.5">
      <c r="A14" s="108">
        <v>103</v>
      </c>
      <c r="B14" s="109" t="s">
        <v>58</v>
      </c>
      <c r="C14" s="108" t="s">
        <v>99</v>
      </c>
      <c r="D14" s="110">
        <f>82.16</f>
        <v>82.16</v>
      </c>
      <c r="E14" s="90">
        <v>1.94</v>
      </c>
      <c r="F14" s="90">
        <f t="shared" si="0"/>
        <v>159.38999999999999</v>
      </c>
      <c r="G14" s="112">
        <f t="shared" ref="G14:G24" si="5">AF14</f>
        <v>0</v>
      </c>
      <c r="H14" s="90">
        <f t="shared" si="1"/>
        <v>0</v>
      </c>
      <c r="I14" s="92">
        <f t="shared" ref="I14:I24" si="6">SUM(N14:AF14)</f>
        <v>82.16</v>
      </c>
      <c r="J14" s="90">
        <f t="shared" si="2"/>
        <v>159.38999999999999</v>
      </c>
      <c r="K14" s="91">
        <f t="shared" si="4"/>
        <v>0</v>
      </c>
      <c r="L14" s="90">
        <f t="shared" si="3"/>
        <v>0</v>
      </c>
      <c r="M14" s="107">
        <f t="shared" ref="M14:M55" si="7">(D14-I14)/D14</f>
        <v>0</v>
      </c>
      <c r="N14" s="198"/>
      <c r="O14" s="150"/>
      <c r="P14" s="150"/>
      <c r="Q14" s="143"/>
      <c r="R14" s="192"/>
      <c r="S14" s="192"/>
      <c r="T14" s="192"/>
      <c r="U14" s="192"/>
      <c r="V14" s="192"/>
      <c r="W14" s="192"/>
      <c r="X14" s="192">
        <v>82.16</v>
      </c>
      <c r="Y14" s="137"/>
      <c r="Z14" s="137"/>
      <c r="AA14" s="137"/>
      <c r="AB14" s="137"/>
      <c r="AC14" s="137"/>
      <c r="AD14" s="137"/>
      <c r="AE14" s="137"/>
      <c r="AF14" s="137"/>
    </row>
    <row r="15" spans="1:32" ht="25.5">
      <c r="A15" s="108">
        <v>104</v>
      </c>
      <c r="B15" s="109" t="s">
        <v>59</v>
      </c>
      <c r="C15" s="108" t="s">
        <v>100</v>
      </c>
      <c r="D15" s="110">
        <v>1.32</v>
      </c>
      <c r="E15" s="90">
        <v>33.57</v>
      </c>
      <c r="F15" s="90">
        <f t="shared" si="0"/>
        <v>44.31</v>
      </c>
      <c r="G15" s="112">
        <f t="shared" si="5"/>
        <v>0</v>
      </c>
      <c r="H15" s="90">
        <f t="shared" si="1"/>
        <v>0</v>
      </c>
      <c r="I15" s="92">
        <f t="shared" si="6"/>
        <v>1.32</v>
      </c>
      <c r="J15" s="90">
        <f t="shared" si="2"/>
        <v>44.31</v>
      </c>
      <c r="K15" s="91">
        <f t="shared" si="4"/>
        <v>0</v>
      </c>
      <c r="L15" s="90">
        <f t="shared" si="3"/>
        <v>0</v>
      </c>
      <c r="M15" s="107">
        <f t="shared" si="7"/>
        <v>0</v>
      </c>
      <c r="N15" s="198"/>
      <c r="O15" s="150"/>
      <c r="P15" s="150"/>
      <c r="Q15" s="143"/>
      <c r="R15" s="192"/>
      <c r="S15" s="192"/>
      <c r="T15" s="192"/>
      <c r="U15" s="192"/>
      <c r="V15" s="192"/>
      <c r="W15" s="192">
        <v>1.2048749999999999</v>
      </c>
      <c r="X15" s="192">
        <v>0.11512500000000014</v>
      </c>
      <c r="Y15" s="137"/>
      <c r="Z15" s="137"/>
      <c r="AA15" s="137"/>
      <c r="AB15" s="137"/>
      <c r="AC15" s="137"/>
      <c r="AD15" s="137"/>
      <c r="AE15" s="137"/>
      <c r="AF15" s="137"/>
    </row>
    <row r="16" spans="1:32" ht="25.5">
      <c r="A16" s="108">
        <v>105</v>
      </c>
      <c r="B16" s="109" t="s">
        <v>60</v>
      </c>
      <c r="C16" s="108" t="s">
        <v>100</v>
      </c>
      <c r="D16" s="110">
        <v>220</v>
      </c>
      <c r="E16" s="90">
        <v>35.14</v>
      </c>
      <c r="F16" s="90">
        <f t="shared" si="0"/>
        <v>7730.8</v>
      </c>
      <c r="G16" s="112">
        <f t="shared" si="5"/>
        <v>1.33</v>
      </c>
      <c r="H16" s="90">
        <f t="shared" si="1"/>
        <v>46.73</v>
      </c>
      <c r="I16" s="92">
        <f t="shared" si="6"/>
        <v>112.84117099999999</v>
      </c>
      <c r="J16" s="90">
        <f t="shared" si="2"/>
        <v>3965.23</v>
      </c>
      <c r="K16" s="91">
        <f t="shared" si="4"/>
        <v>107.15882900000001</v>
      </c>
      <c r="L16" s="90">
        <f t="shared" si="3"/>
        <v>3765.56</v>
      </c>
      <c r="M16" s="107">
        <f t="shared" si="7"/>
        <v>0.48708558636363641</v>
      </c>
      <c r="N16" s="198">
        <v>2.641896</v>
      </c>
      <c r="O16" s="150">
        <v>12.79</v>
      </c>
      <c r="P16" s="150">
        <v>7.72</v>
      </c>
      <c r="Q16" s="143">
        <v>4.7477249999999991</v>
      </c>
      <c r="R16" s="192">
        <v>14.46</v>
      </c>
      <c r="S16" s="192">
        <v>17.25</v>
      </c>
      <c r="T16" s="192">
        <v>15.48</v>
      </c>
      <c r="U16" s="192">
        <v>9.5399999999999991</v>
      </c>
      <c r="V16" s="192">
        <v>5.33</v>
      </c>
      <c r="W16" s="192">
        <v>1.504875</v>
      </c>
      <c r="X16" s="192">
        <v>6.19</v>
      </c>
      <c r="Y16" s="137">
        <v>6.23</v>
      </c>
      <c r="Z16" s="137">
        <v>1.56</v>
      </c>
      <c r="AA16" s="137">
        <v>1.98</v>
      </c>
      <c r="AB16" s="137"/>
      <c r="AC16" s="137"/>
      <c r="AD16" s="137"/>
      <c r="AE16" s="137">
        <v>4.0866749999999996</v>
      </c>
      <c r="AF16" s="137">
        <v>1.33</v>
      </c>
    </row>
    <row r="17" spans="1:32" ht="25.5">
      <c r="A17" s="108">
        <v>106</v>
      </c>
      <c r="B17" s="109" t="s">
        <v>61</v>
      </c>
      <c r="C17" s="108" t="s">
        <v>99</v>
      </c>
      <c r="D17" s="110">
        <v>287.10000000000002</v>
      </c>
      <c r="E17" s="90">
        <v>97.42</v>
      </c>
      <c r="F17" s="90">
        <f t="shared" si="0"/>
        <v>27969.279999999999</v>
      </c>
      <c r="G17" s="112">
        <f t="shared" si="5"/>
        <v>0</v>
      </c>
      <c r="H17" s="90">
        <f t="shared" si="1"/>
        <v>0</v>
      </c>
      <c r="I17" s="92">
        <f t="shared" si="6"/>
        <v>280.95500000000004</v>
      </c>
      <c r="J17" s="90">
        <f t="shared" si="2"/>
        <v>27370.63</v>
      </c>
      <c r="K17" s="91">
        <f t="shared" si="4"/>
        <v>6.1449999999999818</v>
      </c>
      <c r="L17" s="90">
        <f t="shared" si="3"/>
        <v>598.64</v>
      </c>
      <c r="M17" s="107">
        <f t="shared" si="7"/>
        <v>2.14036920933472E-2</v>
      </c>
      <c r="N17" s="198">
        <v>92.625000000000014</v>
      </c>
      <c r="O17" s="150">
        <v>53.53</v>
      </c>
      <c r="P17" s="150"/>
      <c r="Q17" s="143">
        <v>7.4</v>
      </c>
      <c r="R17" s="192">
        <v>15.549999999999997</v>
      </c>
      <c r="S17" s="192">
        <v>23.6</v>
      </c>
      <c r="T17" s="192"/>
      <c r="U17" s="192">
        <v>34.5</v>
      </c>
      <c r="V17" s="192"/>
      <c r="W17" s="192"/>
      <c r="X17" s="192"/>
      <c r="Y17" s="137"/>
      <c r="Z17" s="137"/>
      <c r="AA17" s="137">
        <v>53.75</v>
      </c>
      <c r="AB17" s="137"/>
      <c r="AC17" s="137"/>
      <c r="AD17" s="137"/>
      <c r="AE17" s="137"/>
      <c r="AF17" s="137"/>
    </row>
    <row r="18" spans="1:32">
      <c r="A18" s="108">
        <v>107</v>
      </c>
      <c r="B18" s="109" t="s">
        <v>62</v>
      </c>
      <c r="C18" s="108" t="s">
        <v>99</v>
      </c>
      <c r="D18" s="110">
        <v>7000</v>
      </c>
      <c r="E18" s="90">
        <v>19.59</v>
      </c>
      <c r="F18" s="90">
        <f t="shared" si="0"/>
        <v>137130</v>
      </c>
      <c r="G18" s="112">
        <f t="shared" si="5"/>
        <v>0</v>
      </c>
      <c r="H18" s="90">
        <f t="shared" si="1"/>
        <v>0</v>
      </c>
      <c r="I18" s="92">
        <f t="shared" si="6"/>
        <v>7000</v>
      </c>
      <c r="J18" s="90">
        <f t="shared" si="2"/>
        <v>137130</v>
      </c>
      <c r="K18" s="91">
        <f t="shared" si="4"/>
        <v>0</v>
      </c>
      <c r="L18" s="90">
        <f t="shared" si="3"/>
        <v>0</v>
      </c>
      <c r="M18" s="107">
        <f t="shared" si="7"/>
        <v>0</v>
      </c>
      <c r="N18" s="198">
        <v>2317.0776300000002</v>
      </c>
      <c r="O18" s="150">
        <v>826.88</v>
      </c>
      <c r="P18" s="150">
        <v>1435.6091700000002</v>
      </c>
      <c r="Q18" s="143"/>
      <c r="R18" s="192">
        <v>480.5</v>
      </c>
      <c r="S18" s="192">
        <v>1941</v>
      </c>
      <c r="T18" s="192"/>
      <c r="U18" s="192">
        <v>825.8131999999996</v>
      </c>
      <c r="V18" s="192">
        <v>-826.88</v>
      </c>
      <c r="W18" s="192"/>
      <c r="X18" s="192"/>
      <c r="Y18" s="137"/>
      <c r="Z18" s="137"/>
      <c r="AA18" s="137"/>
      <c r="AB18" s="137"/>
      <c r="AC18" s="137"/>
      <c r="AD18" s="137"/>
      <c r="AE18" s="137"/>
      <c r="AF18" s="137"/>
    </row>
    <row r="19" spans="1:32" ht="38.25">
      <c r="A19" s="108">
        <v>108</v>
      </c>
      <c r="B19" s="109" t="s">
        <v>63</v>
      </c>
      <c r="C19" s="108" t="s">
        <v>101</v>
      </c>
      <c r="D19" s="110">
        <v>1200</v>
      </c>
      <c r="E19" s="90">
        <v>1.1399999999999999</v>
      </c>
      <c r="F19" s="90">
        <f t="shared" si="0"/>
        <v>1368</v>
      </c>
      <c r="G19" s="112">
        <f t="shared" si="5"/>
        <v>0</v>
      </c>
      <c r="H19" s="90">
        <f t="shared" si="1"/>
        <v>0</v>
      </c>
      <c r="I19" s="92">
        <f t="shared" si="6"/>
        <v>1200</v>
      </c>
      <c r="J19" s="90">
        <f t="shared" si="2"/>
        <v>1368</v>
      </c>
      <c r="K19" s="91">
        <f t="shared" si="4"/>
        <v>0</v>
      </c>
      <c r="L19" s="90">
        <f t="shared" si="3"/>
        <v>0</v>
      </c>
      <c r="M19" s="107">
        <f t="shared" si="7"/>
        <v>0</v>
      </c>
      <c r="N19" s="198">
        <v>168.84</v>
      </c>
      <c r="O19" s="150">
        <v>168.84</v>
      </c>
      <c r="P19" s="150">
        <v>168.84</v>
      </c>
      <c r="Q19" s="143">
        <v>168.84</v>
      </c>
      <c r="R19" s="192">
        <v>168.84</v>
      </c>
      <c r="S19" s="192">
        <v>168.84</v>
      </c>
      <c r="T19" s="192">
        <v>168.84</v>
      </c>
      <c r="U19" s="192">
        <v>18.119999999999891</v>
      </c>
      <c r="V19" s="192"/>
      <c r="W19" s="192"/>
      <c r="X19" s="192"/>
      <c r="Y19" s="137"/>
      <c r="Z19" s="137"/>
      <c r="AA19" s="137"/>
      <c r="AB19" s="137"/>
      <c r="AC19" s="137"/>
      <c r="AD19" s="137"/>
      <c r="AE19" s="137"/>
      <c r="AF19" s="137"/>
    </row>
    <row r="20" spans="1:32" ht="51">
      <c r="A20" s="108">
        <v>109</v>
      </c>
      <c r="B20" s="109" t="s">
        <v>64</v>
      </c>
      <c r="C20" s="108" t="s">
        <v>99</v>
      </c>
      <c r="D20" s="110">
        <v>1200</v>
      </c>
      <c r="E20" s="90">
        <v>8.06</v>
      </c>
      <c r="F20" s="90">
        <f t="shared" si="0"/>
        <v>9672</v>
      </c>
      <c r="G20" s="112">
        <f t="shared" si="5"/>
        <v>0</v>
      </c>
      <c r="H20" s="90">
        <f t="shared" si="1"/>
        <v>0</v>
      </c>
      <c r="I20" s="92">
        <f t="shared" si="6"/>
        <v>1200</v>
      </c>
      <c r="J20" s="90">
        <f t="shared" si="2"/>
        <v>9672</v>
      </c>
      <c r="K20" s="91">
        <f t="shared" si="4"/>
        <v>0</v>
      </c>
      <c r="L20" s="90">
        <f t="shared" si="3"/>
        <v>0</v>
      </c>
      <c r="M20" s="107">
        <f t="shared" si="7"/>
        <v>0</v>
      </c>
      <c r="N20" s="198">
        <v>168.84</v>
      </c>
      <c r="O20" s="150">
        <v>168.84</v>
      </c>
      <c r="P20" s="150">
        <v>168.84</v>
      </c>
      <c r="Q20" s="143">
        <v>168.84</v>
      </c>
      <c r="R20" s="192">
        <v>168.84</v>
      </c>
      <c r="S20" s="192">
        <v>168.84</v>
      </c>
      <c r="T20" s="192">
        <v>168.84</v>
      </c>
      <c r="U20" s="192">
        <v>18.119999999999891</v>
      </c>
      <c r="V20" s="192"/>
      <c r="W20" s="192"/>
      <c r="X20" s="192"/>
      <c r="Y20" s="137"/>
      <c r="Z20" s="137"/>
      <c r="AA20" s="137"/>
      <c r="AB20" s="137"/>
      <c r="AC20" s="137"/>
      <c r="AD20" s="137"/>
      <c r="AE20" s="137"/>
      <c r="AF20" s="137"/>
    </row>
    <row r="21" spans="1:32" ht="25.5">
      <c r="A21" s="108">
        <v>110</v>
      </c>
      <c r="B21" s="109" t="s">
        <v>65</v>
      </c>
      <c r="C21" s="108" t="s">
        <v>10</v>
      </c>
      <c r="D21" s="144">
        <v>3</v>
      </c>
      <c r="E21" s="90">
        <v>1137.42</v>
      </c>
      <c r="F21" s="90">
        <f t="shared" si="0"/>
        <v>3412.26</v>
      </c>
      <c r="G21" s="112">
        <f t="shared" si="5"/>
        <v>0</v>
      </c>
      <c r="H21" s="90">
        <f t="shared" si="1"/>
        <v>0</v>
      </c>
      <c r="I21" s="92">
        <f t="shared" si="6"/>
        <v>3</v>
      </c>
      <c r="J21" s="90">
        <f t="shared" si="2"/>
        <v>3412.26</v>
      </c>
      <c r="K21" s="91">
        <f t="shared" si="4"/>
        <v>0</v>
      </c>
      <c r="L21" s="90">
        <f t="shared" si="3"/>
        <v>0</v>
      </c>
      <c r="M21" s="107">
        <f t="shared" si="7"/>
        <v>0</v>
      </c>
      <c r="N21" s="198">
        <v>3</v>
      </c>
      <c r="O21" s="150">
        <v>0</v>
      </c>
      <c r="P21" s="150">
        <v>0</v>
      </c>
      <c r="Q21" s="143">
        <v>0</v>
      </c>
      <c r="R21" s="192"/>
      <c r="S21" s="192"/>
      <c r="T21" s="200"/>
      <c r="U21" s="192"/>
      <c r="V21" s="192"/>
      <c r="W21" s="192"/>
      <c r="X21" s="192"/>
      <c r="Y21" s="137"/>
      <c r="Z21" s="137"/>
      <c r="AA21" s="137"/>
      <c r="AB21" s="137"/>
      <c r="AC21" s="137"/>
      <c r="AD21" s="137"/>
      <c r="AE21" s="137"/>
      <c r="AF21" s="137"/>
    </row>
    <row r="22" spans="1:32" ht="51">
      <c r="A22" s="108">
        <v>111</v>
      </c>
      <c r="B22" s="109" t="s">
        <v>66</v>
      </c>
      <c r="C22" s="108" t="s">
        <v>102</v>
      </c>
      <c r="D22" s="144">
        <v>14</v>
      </c>
      <c r="E22" s="90">
        <v>774.87</v>
      </c>
      <c r="F22" s="90">
        <f t="shared" si="0"/>
        <v>10848.18</v>
      </c>
      <c r="G22" s="112">
        <f t="shared" si="5"/>
        <v>0</v>
      </c>
      <c r="H22" s="90">
        <f t="shared" si="1"/>
        <v>0</v>
      </c>
      <c r="I22" s="92">
        <f t="shared" si="6"/>
        <v>14</v>
      </c>
      <c r="J22" s="90">
        <f t="shared" si="2"/>
        <v>10848.18</v>
      </c>
      <c r="K22" s="91">
        <f t="shared" si="4"/>
        <v>0</v>
      </c>
      <c r="L22" s="90">
        <f t="shared" si="3"/>
        <v>0</v>
      </c>
      <c r="M22" s="107">
        <f t="shared" si="7"/>
        <v>0</v>
      </c>
      <c r="N22" s="198"/>
      <c r="O22" s="150"/>
      <c r="P22" s="150">
        <v>1</v>
      </c>
      <c r="Q22" s="143">
        <v>1</v>
      </c>
      <c r="R22" s="192">
        <v>1</v>
      </c>
      <c r="S22" s="192">
        <v>1</v>
      </c>
      <c r="T22" s="192">
        <v>1</v>
      </c>
      <c r="U22" s="192">
        <v>1</v>
      </c>
      <c r="V22" s="192">
        <v>1</v>
      </c>
      <c r="W22" s="192">
        <v>1</v>
      </c>
      <c r="X22" s="192">
        <v>1</v>
      </c>
      <c r="Y22" s="137">
        <v>1</v>
      </c>
      <c r="Z22" s="137">
        <v>1</v>
      </c>
      <c r="AA22" s="137">
        <v>1</v>
      </c>
      <c r="AB22" s="192"/>
      <c r="AC22" s="192"/>
      <c r="AD22" s="192">
        <v>2</v>
      </c>
      <c r="AE22" s="192"/>
      <c r="AF22" s="192"/>
    </row>
    <row r="23" spans="1:32" ht="38.25">
      <c r="A23" s="108">
        <v>112</v>
      </c>
      <c r="B23" s="109" t="s">
        <v>67</v>
      </c>
      <c r="C23" s="108" t="s">
        <v>102</v>
      </c>
      <c r="D23" s="144">
        <v>18</v>
      </c>
      <c r="E23" s="90">
        <v>334.35</v>
      </c>
      <c r="F23" s="90">
        <f t="shared" si="0"/>
        <v>6018.3</v>
      </c>
      <c r="G23" s="112">
        <f t="shared" si="5"/>
        <v>0</v>
      </c>
      <c r="H23" s="90">
        <f t="shared" si="1"/>
        <v>0</v>
      </c>
      <c r="I23" s="92">
        <f t="shared" si="6"/>
        <v>18</v>
      </c>
      <c r="J23" s="90">
        <f t="shared" si="2"/>
        <v>6018.3</v>
      </c>
      <c r="K23" s="91">
        <f t="shared" si="4"/>
        <v>0</v>
      </c>
      <c r="L23" s="90">
        <f t="shared" si="3"/>
        <v>0</v>
      </c>
      <c r="M23" s="107">
        <f t="shared" si="7"/>
        <v>0</v>
      </c>
      <c r="N23" s="198">
        <v>3</v>
      </c>
      <c r="O23" s="150">
        <v>5</v>
      </c>
      <c r="P23" s="150">
        <v>8</v>
      </c>
      <c r="Q23" s="143">
        <v>-1</v>
      </c>
      <c r="R23" s="192"/>
      <c r="S23" s="192"/>
      <c r="T23" s="200"/>
      <c r="U23" s="192"/>
      <c r="V23" s="192"/>
      <c r="W23" s="192"/>
      <c r="X23" s="192"/>
      <c r="Y23" s="137"/>
      <c r="Z23" s="137"/>
      <c r="AA23" s="137">
        <v>3</v>
      </c>
      <c r="AB23" s="137"/>
      <c r="AC23" s="137"/>
      <c r="AD23" s="137"/>
      <c r="AE23" s="137"/>
      <c r="AF23" s="137"/>
    </row>
    <row r="24" spans="1:32" ht="25.5">
      <c r="A24" s="108">
        <v>113</v>
      </c>
      <c r="B24" s="111" t="s">
        <v>68</v>
      </c>
      <c r="C24" s="108" t="s">
        <v>10</v>
      </c>
      <c r="D24" s="110">
        <v>0</v>
      </c>
      <c r="E24" s="90">
        <v>140</v>
      </c>
      <c r="F24" s="90">
        <f t="shared" si="0"/>
        <v>0</v>
      </c>
      <c r="G24" s="112">
        <f t="shared" si="5"/>
        <v>0</v>
      </c>
      <c r="H24" s="90">
        <f t="shared" si="1"/>
        <v>0</v>
      </c>
      <c r="I24" s="92">
        <f t="shared" si="6"/>
        <v>0</v>
      </c>
      <c r="J24" s="90">
        <f t="shared" si="2"/>
        <v>0</v>
      </c>
      <c r="K24" s="91">
        <f t="shared" si="4"/>
        <v>0</v>
      </c>
      <c r="L24" s="90">
        <f t="shared" si="3"/>
        <v>0</v>
      </c>
      <c r="M24" s="107"/>
      <c r="N24" s="198"/>
      <c r="O24" s="150"/>
      <c r="P24" s="150"/>
      <c r="Q24" s="143"/>
      <c r="R24" s="192"/>
      <c r="S24" s="192"/>
      <c r="T24" s="192"/>
      <c r="U24" s="192"/>
      <c r="V24" s="192"/>
      <c r="W24" s="192"/>
      <c r="X24" s="192"/>
      <c r="Y24" s="137"/>
      <c r="Z24" s="137"/>
      <c r="AA24" s="137"/>
      <c r="AB24" s="137"/>
      <c r="AC24" s="137"/>
      <c r="AD24" s="137"/>
      <c r="AE24" s="137"/>
      <c r="AF24" s="137"/>
    </row>
    <row r="25" spans="1:32">
      <c r="A25" s="108">
        <v>114</v>
      </c>
      <c r="B25" s="109" t="s">
        <v>69</v>
      </c>
      <c r="C25" s="108" t="s">
        <v>10</v>
      </c>
      <c r="D25" s="110">
        <v>1</v>
      </c>
      <c r="E25" s="90">
        <v>130913.09</v>
      </c>
      <c r="F25" s="90">
        <f t="shared" si="0"/>
        <v>130913.09</v>
      </c>
      <c r="G25" s="112">
        <f t="shared" ref="G25:G47" si="8">AE25</f>
        <v>0</v>
      </c>
      <c r="H25" s="90">
        <f t="shared" si="1"/>
        <v>0</v>
      </c>
      <c r="I25" s="92">
        <f t="shared" ref="I25:I47" si="9">SUM(N25:AE25)</f>
        <v>0.99999999999999001</v>
      </c>
      <c r="J25" s="90">
        <f t="shared" si="2"/>
        <v>130913.08</v>
      </c>
      <c r="K25" s="91">
        <f t="shared" si="4"/>
        <v>9.9920072216264089E-15</v>
      </c>
      <c r="L25" s="90">
        <f t="shared" si="3"/>
        <v>0</v>
      </c>
      <c r="M25" s="107">
        <f t="shared" si="7"/>
        <v>9.9920072216264089E-15</v>
      </c>
      <c r="N25" s="198">
        <v>8.3333333333329998E-2</v>
      </c>
      <c r="O25" s="150">
        <v>8.3333333333329998E-2</v>
      </c>
      <c r="P25" s="150">
        <v>8.3333333333329998E-2</v>
      </c>
      <c r="Q25" s="143">
        <v>7.0000000000000007E-2</v>
      </c>
      <c r="R25" s="192">
        <v>0.08</v>
      </c>
      <c r="S25" s="192">
        <v>0.08</v>
      </c>
      <c r="T25" s="192">
        <v>0.08</v>
      </c>
      <c r="U25" s="192">
        <v>0.08</v>
      </c>
      <c r="V25" s="192">
        <v>0.08</v>
      </c>
      <c r="W25" s="192">
        <v>0.1</v>
      </c>
      <c r="X25" s="192">
        <v>0.09</v>
      </c>
      <c r="Y25" s="137">
        <v>9.000000000000008E-2</v>
      </c>
      <c r="Z25" s="137"/>
      <c r="AA25" s="137"/>
      <c r="AB25" s="137"/>
      <c r="AC25" s="137"/>
      <c r="AD25" s="137"/>
      <c r="AE25" s="137"/>
      <c r="AF25" s="137"/>
    </row>
    <row r="26" spans="1:32">
      <c r="A26" s="108">
        <v>115</v>
      </c>
      <c r="B26" s="109" t="s">
        <v>70</v>
      </c>
      <c r="C26" s="108" t="s">
        <v>10</v>
      </c>
      <c r="D26" s="110">
        <v>20</v>
      </c>
      <c r="E26" s="90">
        <v>395.7</v>
      </c>
      <c r="F26" s="90">
        <f t="shared" si="0"/>
        <v>7914</v>
      </c>
      <c r="G26" s="112">
        <f t="shared" si="8"/>
        <v>0</v>
      </c>
      <c r="H26" s="90">
        <f t="shared" si="1"/>
        <v>0</v>
      </c>
      <c r="I26" s="92">
        <f t="shared" si="9"/>
        <v>20</v>
      </c>
      <c r="J26" s="90">
        <f t="shared" si="2"/>
        <v>7914</v>
      </c>
      <c r="K26" s="91">
        <f t="shared" si="4"/>
        <v>0</v>
      </c>
      <c r="L26" s="90">
        <f t="shared" si="3"/>
        <v>0</v>
      </c>
      <c r="M26" s="107">
        <f t="shared" si="7"/>
        <v>0</v>
      </c>
      <c r="N26" s="198">
        <v>13</v>
      </c>
      <c r="O26" s="150">
        <v>7</v>
      </c>
      <c r="P26" s="150">
        <v>0</v>
      </c>
      <c r="Q26" s="143">
        <v>0</v>
      </c>
      <c r="R26" s="192"/>
      <c r="S26" s="192"/>
      <c r="T26" s="192"/>
      <c r="U26" s="192"/>
      <c r="V26" s="192"/>
      <c r="W26" s="192"/>
      <c r="X26" s="192"/>
      <c r="Y26" s="137"/>
      <c r="Z26" s="137"/>
      <c r="AA26" s="137"/>
      <c r="AB26" s="137"/>
      <c r="AC26" s="137"/>
      <c r="AD26" s="137"/>
      <c r="AE26" s="137"/>
      <c r="AF26" s="137"/>
    </row>
    <row r="27" spans="1:32">
      <c r="A27" s="102">
        <v>2</v>
      </c>
      <c r="B27" s="103" t="s">
        <v>71</v>
      </c>
      <c r="C27" s="103"/>
      <c r="D27" s="104"/>
      <c r="E27" s="105"/>
      <c r="F27" s="105">
        <f>SUM(F28:F38)</f>
        <v>1097871.5</v>
      </c>
      <c r="G27" s="106"/>
      <c r="H27" s="89">
        <f>TRUNC(SUM(H28:H38),2)</f>
        <v>0</v>
      </c>
      <c r="I27" s="89"/>
      <c r="J27" s="89">
        <f>TRUNC(SUM(J28:J38),2)</f>
        <v>1055981.68</v>
      </c>
      <c r="K27" s="155"/>
      <c r="L27" s="89">
        <f>TRUNC(SUM(L28:L38),2)</f>
        <v>41889.760000000002</v>
      </c>
      <c r="M27" s="107"/>
      <c r="N27" s="199"/>
      <c r="O27" s="163"/>
      <c r="P27" s="163"/>
      <c r="Q27" s="164"/>
      <c r="R27" s="164"/>
      <c r="S27" s="165"/>
      <c r="T27" s="164"/>
      <c r="U27" s="165"/>
      <c r="V27" s="165"/>
      <c r="W27" s="165"/>
      <c r="X27" s="165"/>
      <c r="Y27" s="165"/>
      <c r="Z27" s="165"/>
      <c r="AA27" s="165"/>
      <c r="AB27" s="165"/>
      <c r="AC27" s="165"/>
      <c r="AD27" s="165"/>
      <c r="AE27" s="165"/>
      <c r="AF27" s="165"/>
    </row>
    <row r="28" spans="1:32" ht="63.75">
      <c r="A28" s="108">
        <v>201</v>
      </c>
      <c r="B28" s="109" t="s">
        <v>72</v>
      </c>
      <c r="C28" s="108" t="s">
        <v>99</v>
      </c>
      <c r="D28" s="110">
        <v>4300</v>
      </c>
      <c r="E28" s="90">
        <v>5.3</v>
      </c>
      <c r="F28" s="90">
        <f t="shared" ref="F28:F38" si="10">TRUNC(D28 * E28, 2)</f>
        <v>22790</v>
      </c>
      <c r="G28" s="112">
        <f t="shared" ref="G28:G39" si="11">AF28</f>
        <v>0</v>
      </c>
      <c r="H28" s="90">
        <f t="shared" ref="H28:H38" si="12">TRUNC(G28*E28,2)</f>
        <v>0</v>
      </c>
      <c r="I28" s="91">
        <f>SUM(N28:AF28)</f>
        <v>4027.4873999999991</v>
      </c>
      <c r="J28" s="90">
        <f>TRUNC(I28*E28,2)</f>
        <v>21345.68</v>
      </c>
      <c r="K28" s="91">
        <f t="shared" ref="K28:K55" si="13">D28-I28</f>
        <v>272.51260000000093</v>
      </c>
      <c r="L28" s="90">
        <f t="shared" ref="L28:L38" si="14">TRUNC(K28*E28,2)</f>
        <v>1444.31</v>
      </c>
      <c r="M28" s="107">
        <f t="shared" si="7"/>
        <v>6.3375023255814164E-2</v>
      </c>
      <c r="N28" s="198"/>
      <c r="O28" s="150">
        <v>725.8</v>
      </c>
      <c r="P28" s="150"/>
      <c r="Q28" s="143">
        <v>558.1099999999999</v>
      </c>
      <c r="R28" s="193">
        <v>642.59730000000013</v>
      </c>
      <c r="S28" s="137">
        <v>80.250299999999925</v>
      </c>
      <c r="T28" s="193">
        <v>644.27729999999997</v>
      </c>
      <c r="U28" s="192">
        <v>44.009999999999764</v>
      </c>
      <c r="V28" s="192">
        <v>617.73600000000033</v>
      </c>
      <c r="W28" s="192">
        <v>13.599999999999454</v>
      </c>
      <c r="X28" s="192"/>
      <c r="Y28" s="137">
        <v>302.58000000000038</v>
      </c>
      <c r="Z28" s="137">
        <v>69.606499999999869</v>
      </c>
      <c r="AA28" s="137">
        <v>88.2199999999998</v>
      </c>
      <c r="AB28" s="137"/>
      <c r="AC28" s="137">
        <v>30.32</v>
      </c>
      <c r="AD28" s="137">
        <v>181.68</v>
      </c>
      <c r="AE28" s="137">
        <v>28.699999999999989</v>
      </c>
      <c r="AF28" s="137"/>
    </row>
    <row r="29" spans="1:32" ht="51">
      <c r="A29" s="108">
        <v>202</v>
      </c>
      <c r="B29" s="109" t="s">
        <v>73</v>
      </c>
      <c r="C29" s="108" t="s">
        <v>99</v>
      </c>
      <c r="D29" s="110">
        <v>4300</v>
      </c>
      <c r="E29" s="90">
        <v>51.11</v>
      </c>
      <c r="F29" s="90">
        <f t="shared" si="10"/>
        <v>219773</v>
      </c>
      <c r="G29" s="112">
        <f t="shared" si="11"/>
        <v>0</v>
      </c>
      <c r="H29" s="90">
        <f t="shared" si="12"/>
        <v>0</v>
      </c>
      <c r="I29" s="91">
        <f t="shared" ref="I29:I38" si="15">SUM(N29:AF29)</f>
        <v>4027.4897999999994</v>
      </c>
      <c r="J29" s="90">
        <f t="shared" ref="J29:J38" si="16">TRUNC(I29*E29,2)</f>
        <v>205845</v>
      </c>
      <c r="K29" s="91">
        <f t="shared" si="13"/>
        <v>272.51020000000062</v>
      </c>
      <c r="L29" s="90">
        <f t="shared" si="14"/>
        <v>13927.99</v>
      </c>
      <c r="M29" s="107">
        <f t="shared" si="7"/>
        <v>6.3374465116279213E-2</v>
      </c>
      <c r="N29" s="198"/>
      <c r="O29" s="150">
        <v>681.34</v>
      </c>
      <c r="P29" s="150"/>
      <c r="Q29" s="143">
        <v>386.43999999999994</v>
      </c>
      <c r="R29" s="193">
        <v>484.98849999999993</v>
      </c>
      <c r="S29" s="137">
        <v>453.98880000000008</v>
      </c>
      <c r="T29" s="193">
        <v>644.28</v>
      </c>
      <c r="U29" s="192">
        <v>44.009999999999764</v>
      </c>
      <c r="V29" s="192">
        <v>572.35300000000052</v>
      </c>
      <c r="W29" s="192">
        <v>58.982999999999265</v>
      </c>
      <c r="X29" s="192">
        <v>137.39000000000033</v>
      </c>
      <c r="Y29" s="137">
        <v>165.19000000000005</v>
      </c>
      <c r="Z29" s="137">
        <v>69.606499999999869</v>
      </c>
      <c r="AA29" s="137">
        <v>88.2199999999998</v>
      </c>
      <c r="AB29" s="137"/>
      <c r="AC29" s="137">
        <v>30.32</v>
      </c>
      <c r="AD29" s="137">
        <v>181.68</v>
      </c>
      <c r="AE29" s="137">
        <v>28.699999999999989</v>
      </c>
      <c r="AF29" s="137"/>
    </row>
    <row r="30" spans="1:32">
      <c r="A30" s="108">
        <v>203</v>
      </c>
      <c r="B30" s="109" t="s">
        <v>190</v>
      </c>
      <c r="C30" s="108" t="s">
        <v>5</v>
      </c>
      <c r="D30" s="110">
        <v>950</v>
      </c>
      <c r="E30" s="90">
        <v>46.41</v>
      </c>
      <c r="F30" s="90">
        <f t="shared" si="10"/>
        <v>44089.5</v>
      </c>
      <c r="G30" s="112">
        <f t="shared" si="11"/>
        <v>0</v>
      </c>
      <c r="H30" s="90">
        <f t="shared" si="12"/>
        <v>0</v>
      </c>
      <c r="I30" s="91">
        <f t="shared" si="15"/>
        <v>950.30000000000007</v>
      </c>
      <c r="J30" s="90">
        <f t="shared" si="16"/>
        <v>44103.42</v>
      </c>
      <c r="K30" s="91">
        <f t="shared" si="13"/>
        <v>-0.30000000000006821</v>
      </c>
      <c r="L30" s="90">
        <f t="shared" si="14"/>
        <v>-13.92</v>
      </c>
      <c r="M30" s="107">
        <f t="shared" si="7"/>
        <v>-3.157894736842823E-4</v>
      </c>
      <c r="N30" s="198"/>
      <c r="O30" s="150">
        <v>235.35</v>
      </c>
      <c r="P30" s="150"/>
      <c r="Q30" s="143"/>
      <c r="R30" s="193">
        <v>22.949999999999989</v>
      </c>
      <c r="S30" s="137">
        <v>316.61000000000007</v>
      </c>
      <c r="T30" s="193">
        <v>88.37</v>
      </c>
      <c r="U30" s="192"/>
      <c r="V30" s="192">
        <v>128.87</v>
      </c>
      <c r="W30" s="192">
        <v>148.24</v>
      </c>
      <c r="X30" s="192">
        <v>9.91</v>
      </c>
      <c r="Y30" s="137"/>
      <c r="Z30" s="192"/>
      <c r="AA30" s="192"/>
      <c r="AB30" s="192"/>
      <c r="AC30" s="192"/>
      <c r="AD30" s="192"/>
      <c r="AE30" s="192"/>
      <c r="AF30" s="192"/>
    </row>
    <row r="31" spans="1:32" ht="38.25">
      <c r="A31" s="108">
        <v>204</v>
      </c>
      <c r="B31" s="109" t="s">
        <v>74</v>
      </c>
      <c r="C31" s="108" t="s">
        <v>99</v>
      </c>
      <c r="D31" s="110">
        <v>4150</v>
      </c>
      <c r="E31" s="90">
        <v>178.45</v>
      </c>
      <c r="F31" s="90">
        <f t="shared" si="10"/>
        <v>740567.5</v>
      </c>
      <c r="G31" s="112">
        <f t="shared" si="11"/>
        <v>0</v>
      </c>
      <c r="H31" s="90">
        <f t="shared" si="12"/>
        <v>0</v>
      </c>
      <c r="I31" s="91">
        <f t="shared" si="15"/>
        <v>4027.3375999999998</v>
      </c>
      <c r="J31" s="90">
        <f t="shared" si="16"/>
        <v>718678.39</v>
      </c>
      <c r="K31" s="91">
        <f t="shared" si="13"/>
        <v>122.66240000000016</v>
      </c>
      <c r="L31" s="90">
        <f t="shared" si="14"/>
        <v>21889.1</v>
      </c>
      <c r="M31" s="107">
        <f t="shared" si="7"/>
        <v>2.9557204819277146E-2</v>
      </c>
      <c r="N31" s="198"/>
      <c r="O31" s="150"/>
      <c r="P31" s="150">
        <v>534.9</v>
      </c>
      <c r="Q31" s="143">
        <v>368.75</v>
      </c>
      <c r="R31" s="193">
        <v>425.21999999999991</v>
      </c>
      <c r="S31" s="137">
        <v>340.38850000000002</v>
      </c>
      <c r="T31" s="193">
        <v>548.26879999999983</v>
      </c>
      <c r="U31" s="192">
        <v>322.94300000000021</v>
      </c>
      <c r="V31" s="192">
        <v>469.4702999999995</v>
      </c>
      <c r="W31" s="192">
        <v>131.13999999999987</v>
      </c>
      <c r="X31" s="192">
        <v>144.99000000000069</v>
      </c>
      <c r="Y31" s="137">
        <v>224.24299999999994</v>
      </c>
      <c r="Z31" s="137">
        <v>182.20400000000063</v>
      </c>
      <c r="AA31" s="137">
        <v>94.119999999999436</v>
      </c>
      <c r="AB31" s="137"/>
      <c r="AC31" s="137">
        <v>30.32</v>
      </c>
      <c r="AD31" s="137">
        <v>181.68</v>
      </c>
      <c r="AE31" s="137">
        <v>28.699999999999989</v>
      </c>
      <c r="AF31" s="137"/>
    </row>
    <row r="32" spans="1:32" ht="51">
      <c r="A32" s="108">
        <v>205</v>
      </c>
      <c r="B32" s="109" t="s">
        <v>75</v>
      </c>
      <c r="C32" s="108" t="s">
        <v>99</v>
      </c>
      <c r="D32" s="110">
        <v>4150</v>
      </c>
      <c r="E32" s="90">
        <v>15.41</v>
      </c>
      <c r="F32" s="90">
        <f t="shared" si="10"/>
        <v>63951.5</v>
      </c>
      <c r="G32" s="112">
        <f t="shared" si="11"/>
        <v>0</v>
      </c>
      <c r="H32" s="90">
        <f t="shared" si="12"/>
        <v>0</v>
      </c>
      <c r="I32" s="91">
        <f t="shared" si="15"/>
        <v>4027.3347999999996</v>
      </c>
      <c r="J32" s="90">
        <f t="shared" si="16"/>
        <v>62061.22</v>
      </c>
      <c r="K32" s="91">
        <f t="shared" si="13"/>
        <v>122.66520000000037</v>
      </c>
      <c r="L32" s="90">
        <f t="shared" si="14"/>
        <v>1890.27</v>
      </c>
      <c r="M32" s="107">
        <f t="shared" si="7"/>
        <v>2.9557879518072379E-2</v>
      </c>
      <c r="N32" s="198"/>
      <c r="O32" s="150"/>
      <c r="P32" s="150">
        <v>376</v>
      </c>
      <c r="Q32" s="143">
        <v>368.75</v>
      </c>
      <c r="R32" s="193">
        <v>189.18</v>
      </c>
      <c r="S32" s="137">
        <v>394.93749999999989</v>
      </c>
      <c r="T32" s="193">
        <v>662.87730000000033</v>
      </c>
      <c r="U32" s="192"/>
      <c r="V32" s="192">
        <v>669.6099999999999</v>
      </c>
      <c r="W32" s="192">
        <v>369.51299999999992</v>
      </c>
      <c r="X32" s="192">
        <v>7.6000000000003638</v>
      </c>
      <c r="Y32" s="137">
        <v>471.84299999999939</v>
      </c>
      <c r="Z32" s="137">
        <v>182.20400000000063</v>
      </c>
      <c r="AA32" s="137">
        <v>94.119999999999436</v>
      </c>
      <c r="AB32" s="137"/>
      <c r="AC32" s="137">
        <v>30.32</v>
      </c>
      <c r="AD32" s="137">
        <v>181.68</v>
      </c>
      <c r="AE32" s="137">
        <v>28.699999999999989</v>
      </c>
      <c r="AF32" s="137"/>
    </row>
    <row r="33" spans="1:32" ht="38.25">
      <c r="A33" s="108">
        <v>206</v>
      </c>
      <c r="B33" s="109" t="s">
        <v>76</v>
      </c>
      <c r="C33" s="108" t="s">
        <v>5</v>
      </c>
      <c r="D33" s="110"/>
      <c r="E33" s="90">
        <v>17.29</v>
      </c>
      <c r="F33" s="90">
        <f t="shared" si="10"/>
        <v>0</v>
      </c>
      <c r="G33" s="112">
        <f t="shared" si="11"/>
        <v>0</v>
      </c>
      <c r="H33" s="90">
        <f t="shared" si="12"/>
        <v>0</v>
      </c>
      <c r="I33" s="91">
        <f t="shared" si="15"/>
        <v>0</v>
      </c>
      <c r="J33" s="90">
        <f t="shared" si="16"/>
        <v>0</v>
      </c>
      <c r="K33" s="91">
        <f t="shared" si="13"/>
        <v>0</v>
      </c>
      <c r="L33" s="90">
        <f t="shared" si="14"/>
        <v>0</v>
      </c>
      <c r="M33" s="107"/>
      <c r="N33" s="198"/>
      <c r="O33" s="150"/>
      <c r="P33" s="150"/>
      <c r="Q33" s="143"/>
      <c r="R33" s="193"/>
      <c r="S33" s="137"/>
      <c r="T33" s="193"/>
      <c r="U33" s="192"/>
      <c r="V33" s="192"/>
      <c r="W33" s="192"/>
      <c r="X33" s="192"/>
      <c r="Y33" s="137"/>
      <c r="Z33" s="137"/>
      <c r="AA33" s="137"/>
      <c r="AB33" s="137"/>
      <c r="AC33" s="137"/>
      <c r="AD33" s="137"/>
      <c r="AE33" s="137"/>
      <c r="AF33" s="137"/>
    </row>
    <row r="34" spans="1:32" ht="25.5">
      <c r="A34" s="108">
        <v>207</v>
      </c>
      <c r="B34" s="109" t="s">
        <v>77</v>
      </c>
      <c r="C34" s="108" t="s">
        <v>99</v>
      </c>
      <c r="D34" s="110"/>
      <c r="E34" s="90">
        <v>15.94</v>
      </c>
      <c r="F34" s="90">
        <f t="shared" si="10"/>
        <v>0</v>
      </c>
      <c r="G34" s="112">
        <f t="shared" si="11"/>
        <v>0</v>
      </c>
      <c r="H34" s="90">
        <f t="shared" si="12"/>
        <v>0</v>
      </c>
      <c r="I34" s="91">
        <f t="shared" si="15"/>
        <v>0</v>
      </c>
      <c r="J34" s="90">
        <f t="shared" si="16"/>
        <v>0</v>
      </c>
      <c r="K34" s="91">
        <f t="shared" si="13"/>
        <v>0</v>
      </c>
      <c r="L34" s="90">
        <f t="shared" si="14"/>
        <v>0</v>
      </c>
      <c r="M34" s="107"/>
      <c r="N34" s="198"/>
      <c r="O34" s="150"/>
      <c r="P34" s="150"/>
      <c r="Q34" s="143"/>
      <c r="R34" s="193"/>
      <c r="S34" s="137"/>
      <c r="T34" s="193"/>
      <c r="U34" s="192"/>
      <c r="V34" s="192"/>
      <c r="W34" s="192"/>
      <c r="X34" s="192"/>
      <c r="Y34" s="137"/>
      <c r="Z34" s="137"/>
      <c r="AA34" s="137"/>
      <c r="AB34" s="137"/>
      <c r="AC34" s="137"/>
      <c r="AD34" s="137"/>
      <c r="AE34" s="137"/>
      <c r="AF34" s="137"/>
    </row>
    <row r="35" spans="1:32" ht="38.25">
      <c r="A35" s="108">
        <v>208</v>
      </c>
      <c r="B35" s="109" t="s">
        <v>78</v>
      </c>
      <c r="C35" s="108" t="s">
        <v>10</v>
      </c>
      <c r="D35" s="110"/>
      <c r="E35" s="90">
        <v>16.11</v>
      </c>
      <c r="F35" s="90">
        <f t="shared" si="10"/>
        <v>0</v>
      </c>
      <c r="G35" s="112">
        <f t="shared" si="11"/>
        <v>0</v>
      </c>
      <c r="H35" s="90">
        <f t="shared" si="12"/>
        <v>0</v>
      </c>
      <c r="I35" s="91">
        <f t="shared" si="15"/>
        <v>0</v>
      </c>
      <c r="J35" s="90">
        <f t="shared" si="16"/>
        <v>0</v>
      </c>
      <c r="K35" s="91">
        <f t="shared" si="13"/>
        <v>0</v>
      </c>
      <c r="L35" s="90">
        <f t="shared" si="14"/>
        <v>0</v>
      </c>
      <c r="M35" s="107"/>
      <c r="N35" s="198"/>
      <c r="O35" s="150"/>
      <c r="P35" s="150"/>
      <c r="Q35" s="143"/>
      <c r="R35" s="193"/>
      <c r="S35" s="137"/>
      <c r="T35" s="193"/>
      <c r="U35" s="192"/>
      <c r="V35" s="192"/>
      <c r="W35" s="192"/>
      <c r="X35" s="192"/>
      <c r="Y35" s="137"/>
      <c r="Z35" s="137"/>
      <c r="AA35" s="137"/>
      <c r="AB35" s="137"/>
      <c r="AC35" s="137"/>
      <c r="AD35" s="137"/>
      <c r="AE35" s="137"/>
      <c r="AF35" s="137"/>
    </row>
    <row r="36" spans="1:32" ht="25.5">
      <c r="A36" s="108">
        <v>209</v>
      </c>
      <c r="B36" s="111" t="s">
        <v>79</v>
      </c>
      <c r="C36" s="108" t="s">
        <v>10</v>
      </c>
      <c r="D36" s="110">
        <v>0</v>
      </c>
      <c r="E36" s="90">
        <v>81.45</v>
      </c>
      <c r="F36" s="90">
        <f t="shared" si="10"/>
        <v>0</v>
      </c>
      <c r="G36" s="112">
        <f t="shared" si="11"/>
        <v>0</v>
      </c>
      <c r="H36" s="90">
        <f t="shared" si="12"/>
        <v>0</v>
      </c>
      <c r="I36" s="91">
        <f t="shared" si="15"/>
        <v>0</v>
      </c>
      <c r="J36" s="90">
        <f t="shared" si="16"/>
        <v>0</v>
      </c>
      <c r="K36" s="91">
        <f t="shared" si="13"/>
        <v>0</v>
      </c>
      <c r="L36" s="90">
        <f t="shared" si="14"/>
        <v>0</v>
      </c>
      <c r="M36" s="107"/>
      <c r="N36" s="198"/>
      <c r="O36" s="150"/>
      <c r="P36" s="150"/>
      <c r="Q36" s="143"/>
      <c r="R36" s="193"/>
      <c r="S36" s="137"/>
      <c r="T36" s="193"/>
      <c r="U36" s="192"/>
      <c r="V36" s="192"/>
      <c r="W36" s="192"/>
      <c r="X36" s="192"/>
      <c r="Y36" s="137"/>
      <c r="Z36" s="137"/>
      <c r="AA36" s="137"/>
      <c r="AB36" s="137"/>
      <c r="AC36" s="137"/>
      <c r="AD36" s="137"/>
      <c r="AE36" s="137"/>
      <c r="AF36" s="137"/>
    </row>
    <row r="37" spans="1:32" ht="25.5">
      <c r="A37" s="108">
        <v>210</v>
      </c>
      <c r="B37" s="109" t="s">
        <v>80</v>
      </c>
      <c r="C37" s="108" t="s">
        <v>99</v>
      </c>
      <c r="D37" s="110">
        <v>400</v>
      </c>
      <c r="E37" s="90">
        <v>8.82</v>
      </c>
      <c r="F37" s="90">
        <f t="shared" si="10"/>
        <v>3528</v>
      </c>
      <c r="G37" s="112">
        <f t="shared" si="11"/>
        <v>0</v>
      </c>
      <c r="H37" s="90">
        <f t="shared" si="12"/>
        <v>0</v>
      </c>
      <c r="I37" s="91">
        <f t="shared" si="15"/>
        <v>235.7</v>
      </c>
      <c r="J37" s="90">
        <f t="shared" si="16"/>
        <v>2078.87</v>
      </c>
      <c r="K37" s="91">
        <f t="shared" si="13"/>
        <v>164.3</v>
      </c>
      <c r="L37" s="90">
        <f t="shared" si="14"/>
        <v>1449.12</v>
      </c>
      <c r="M37" s="107">
        <f t="shared" si="7"/>
        <v>0.41075</v>
      </c>
      <c r="N37" s="198"/>
      <c r="O37" s="150"/>
      <c r="P37" s="150"/>
      <c r="Q37" s="143"/>
      <c r="R37" s="193"/>
      <c r="S37" s="137"/>
      <c r="T37" s="193"/>
      <c r="U37" s="192"/>
      <c r="V37" s="192"/>
      <c r="W37" s="192"/>
      <c r="X37" s="192"/>
      <c r="Y37" s="137"/>
      <c r="Z37" s="137"/>
      <c r="AA37" s="137"/>
      <c r="AB37" s="137"/>
      <c r="AC37" s="137">
        <v>25.32</v>
      </c>
      <c r="AD37" s="137">
        <v>181.68</v>
      </c>
      <c r="AE37" s="137">
        <v>28.699999999999989</v>
      </c>
      <c r="AF37" s="137"/>
    </row>
    <row r="38" spans="1:32" ht="25.5">
      <c r="A38" s="108">
        <v>211</v>
      </c>
      <c r="B38" s="109" t="s">
        <v>81</v>
      </c>
      <c r="C38" s="108" t="s">
        <v>103</v>
      </c>
      <c r="D38" s="110">
        <v>400</v>
      </c>
      <c r="E38" s="90">
        <v>7.93</v>
      </c>
      <c r="F38" s="90">
        <f t="shared" si="10"/>
        <v>3172</v>
      </c>
      <c r="G38" s="112">
        <f t="shared" si="11"/>
        <v>0</v>
      </c>
      <c r="H38" s="90">
        <f t="shared" si="12"/>
        <v>0</v>
      </c>
      <c r="I38" s="91">
        <f t="shared" si="15"/>
        <v>235.7</v>
      </c>
      <c r="J38" s="90">
        <f t="shared" si="16"/>
        <v>1869.1</v>
      </c>
      <c r="K38" s="91">
        <f t="shared" si="13"/>
        <v>164.3</v>
      </c>
      <c r="L38" s="90">
        <f t="shared" si="14"/>
        <v>1302.8900000000001</v>
      </c>
      <c r="M38" s="107">
        <f t="shared" si="7"/>
        <v>0.41075</v>
      </c>
      <c r="N38" s="198"/>
      <c r="O38" s="150"/>
      <c r="P38" s="150"/>
      <c r="Q38" s="143"/>
      <c r="R38" s="193"/>
      <c r="S38" s="137"/>
      <c r="T38" s="193"/>
      <c r="U38" s="192"/>
      <c r="V38" s="192"/>
      <c r="W38" s="192"/>
      <c r="X38" s="192"/>
      <c r="Y38" s="137"/>
      <c r="Z38" s="137"/>
      <c r="AA38" s="137"/>
      <c r="AB38" s="137"/>
      <c r="AC38" s="137">
        <v>25.32</v>
      </c>
      <c r="AD38" s="137">
        <v>181.68</v>
      </c>
      <c r="AE38" s="137">
        <v>28.699999999999989</v>
      </c>
      <c r="AF38" s="137"/>
    </row>
    <row r="39" spans="1:32">
      <c r="A39" s="102">
        <v>3</v>
      </c>
      <c r="B39" s="103" t="s">
        <v>82</v>
      </c>
      <c r="C39" s="103"/>
      <c r="D39" s="104"/>
      <c r="E39" s="105"/>
      <c r="F39" s="105">
        <f>SUM(F40:F45)</f>
        <v>6702.25</v>
      </c>
      <c r="G39" s="112">
        <f t="shared" si="11"/>
        <v>0</v>
      </c>
      <c r="H39" s="89">
        <f>TRUNC(SUM(H40:H45),2)</f>
        <v>0</v>
      </c>
      <c r="I39" s="89"/>
      <c r="J39" s="89">
        <f>TRUNC(SUM(J40:J45),2)</f>
        <v>6702.25</v>
      </c>
      <c r="K39" s="154"/>
      <c r="L39" s="89">
        <f>TRUNC(SUM(L40:L45),2)</f>
        <v>0</v>
      </c>
      <c r="M39" s="145"/>
      <c r="N39" s="199"/>
      <c r="O39" s="163"/>
      <c r="P39" s="163"/>
      <c r="Q39" s="164"/>
      <c r="R39" s="164"/>
      <c r="S39" s="165"/>
      <c r="T39" s="164"/>
      <c r="U39" s="165"/>
      <c r="V39" s="165"/>
      <c r="W39" s="165"/>
      <c r="X39" s="165"/>
      <c r="Y39" s="165"/>
      <c r="Z39" s="165"/>
      <c r="AA39" s="165"/>
      <c r="AB39" s="165"/>
      <c r="AC39" s="165"/>
      <c r="AD39" s="165"/>
      <c r="AE39" s="165"/>
      <c r="AF39" s="165"/>
    </row>
    <row r="40" spans="1:32">
      <c r="A40" s="108">
        <v>301</v>
      </c>
      <c r="B40" s="109" t="s">
        <v>83</v>
      </c>
      <c r="C40" s="108" t="s">
        <v>10</v>
      </c>
      <c r="D40" s="110">
        <v>0</v>
      </c>
      <c r="E40" s="90">
        <v>7050.34</v>
      </c>
      <c r="F40" s="90">
        <f>TRUNC(D40 * E40, 2)</f>
        <v>0</v>
      </c>
      <c r="G40" s="112">
        <f t="shared" ref="G40:G45" si="17">AF40</f>
        <v>0</v>
      </c>
      <c r="H40" s="90">
        <f t="shared" ref="H40:H45" si="18">TRUNC(G40*E40,2)</f>
        <v>0</v>
      </c>
      <c r="I40" s="91">
        <f t="shared" ref="I40:I45" si="19">SUM(N40:AF40)</f>
        <v>0</v>
      </c>
      <c r="J40" s="90">
        <f t="shared" ref="J40:J45" si="20">TRUNC(I40*E40,2)</f>
        <v>0</v>
      </c>
      <c r="K40" s="91">
        <f t="shared" si="13"/>
        <v>0</v>
      </c>
      <c r="L40" s="90">
        <f t="shared" ref="L40:L45" si="21">TRUNC(K40*E40,2)</f>
        <v>0</v>
      </c>
      <c r="M40" s="107"/>
      <c r="N40" s="198"/>
      <c r="O40" s="150"/>
      <c r="P40" s="150"/>
      <c r="Q40" s="193"/>
      <c r="R40" s="193"/>
      <c r="S40" s="137"/>
      <c r="T40" s="193"/>
      <c r="U40" s="192"/>
      <c r="V40" s="192"/>
      <c r="W40" s="192"/>
      <c r="X40" s="192"/>
      <c r="Y40" s="137"/>
      <c r="Z40" s="137"/>
      <c r="AA40" s="137"/>
      <c r="AB40" s="137"/>
      <c r="AC40" s="137"/>
      <c r="AD40" s="137"/>
      <c r="AE40" s="137"/>
      <c r="AF40" s="137"/>
    </row>
    <row r="41" spans="1:32" ht="38.25">
      <c r="A41" s="108">
        <v>302</v>
      </c>
      <c r="B41" s="109" t="s">
        <v>84</v>
      </c>
      <c r="C41" s="108" t="s">
        <v>99</v>
      </c>
      <c r="D41" s="110">
        <v>17.600000000000001</v>
      </c>
      <c r="E41" s="90">
        <v>380.81</v>
      </c>
      <c r="F41" s="90">
        <f t="shared" ref="F41:F45" si="22">TRUNC(D41 * E41, 2)</f>
        <v>6702.25</v>
      </c>
      <c r="G41" s="112">
        <f t="shared" si="17"/>
        <v>0</v>
      </c>
      <c r="H41" s="90">
        <f t="shared" si="18"/>
        <v>0</v>
      </c>
      <c r="I41" s="91">
        <f t="shared" si="19"/>
        <v>17.600000000000001</v>
      </c>
      <c r="J41" s="90">
        <f t="shared" si="20"/>
        <v>6702.25</v>
      </c>
      <c r="K41" s="91">
        <f t="shared" si="13"/>
        <v>0</v>
      </c>
      <c r="L41" s="90">
        <f t="shared" si="21"/>
        <v>0</v>
      </c>
      <c r="M41" s="107"/>
      <c r="N41" s="198"/>
      <c r="O41" s="150"/>
      <c r="P41" s="150"/>
      <c r="Q41" s="193"/>
      <c r="R41" s="193"/>
      <c r="S41" s="137"/>
      <c r="T41" s="193"/>
      <c r="U41" s="192"/>
      <c r="V41" s="192"/>
      <c r="W41" s="192">
        <v>4.8</v>
      </c>
      <c r="X41" s="192">
        <v>12.8</v>
      </c>
      <c r="Y41" s="137"/>
      <c r="Z41" s="137"/>
      <c r="AA41" s="137"/>
      <c r="AB41" s="137"/>
      <c r="AC41" s="137"/>
      <c r="AD41" s="137"/>
      <c r="AE41" s="137"/>
      <c r="AF41" s="137"/>
    </row>
    <row r="42" spans="1:32" ht="25.5">
      <c r="A42" s="108">
        <v>303</v>
      </c>
      <c r="B42" s="109" t="s">
        <v>85</v>
      </c>
      <c r="C42" s="108" t="s">
        <v>5</v>
      </c>
      <c r="D42" s="110">
        <v>0</v>
      </c>
      <c r="E42" s="90">
        <v>19.12</v>
      </c>
      <c r="F42" s="90">
        <f t="shared" si="22"/>
        <v>0</v>
      </c>
      <c r="G42" s="112">
        <f t="shared" si="17"/>
        <v>0</v>
      </c>
      <c r="H42" s="90">
        <f t="shared" si="18"/>
        <v>0</v>
      </c>
      <c r="I42" s="91">
        <f t="shared" si="19"/>
        <v>0</v>
      </c>
      <c r="J42" s="90">
        <f t="shared" si="20"/>
        <v>0</v>
      </c>
      <c r="K42" s="91">
        <f t="shared" si="13"/>
        <v>0</v>
      </c>
      <c r="L42" s="90">
        <f t="shared" si="21"/>
        <v>0</v>
      </c>
      <c r="M42" s="107"/>
      <c r="N42" s="198"/>
      <c r="O42" s="150"/>
      <c r="P42" s="150"/>
      <c r="Q42" s="193"/>
      <c r="R42" s="193"/>
      <c r="S42" s="137"/>
      <c r="T42" s="193"/>
      <c r="U42" s="192"/>
      <c r="V42" s="192"/>
      <c r="W42" s="192"/>
      <c r="X42" s="192"/>
      <c r="Y42" s="137"/>
      <c r="Z42" s="137"/>
      <c r="AA42" s="137"/>
      <c r="AB42" s="137"/>
      <c r="AC42" s="137"/>
      <c r="AD42" s="137"/>
      <c r="AE42" s="137"/>
      <c r="AF42" s="137"/>
    </row>
    <row r="43" spans="1:32" ht="38.25">
      <c r="A43" s="108">
        <v>304</v>
      </c>
      <c r="B43" s="109" t="s">
        <v>86</v>
      </c>
      <c r="C43" s="108" t="s">
        <v>5</v>
      </c>
      <c r="D43" s="110">
        <v>0</v>
      </c>
      <c r="E43" s="90">
        <v>7.74</v>
      </c>
      <c r="F43" s="90">
        <f t="shared" si="22"/>
        <v>0</v>
      </c>
      <c r="G43" s="112">
        <f t="shared" si="17"/>
        <v>0</v>
      </c>
      <c r="H43" s="90">
        <f t="shared" si="18"/>
        <v>0</v>
      </c>
      <c r="I43" s="91">
        <f t="shared" si="19"/>
        <v>0</v>
      </c>
      <c r="J43" s="90">
        <f t="shared" si="20"/>
        <v>0</v>
      </c>
      <c r="K43" s="91">
        <f t="shared" si="13"/>
        <v>0</v>
      </c>
      <c r="L43" s="90">
        <f t="shared" si="21"/>
        <v>0</v>
      </c>
      <c r="M43" s="107"/>
      <c r="N43" s="198"/>
      <c r="O43" s="150"/>
      <c r="P43" s="150"/>
      <c r="Q43" s="193"/>
      <c r="R43" s="193"/>
      <c r="S43" s="137"/>
      <c r="T43" s="193"/>
      <c r="U43" s="192"/>
      <c r="V43" s="192"/>
      <c r="W43" s="192"/>
      <c r="X43" s="192"/>
      <c r="Y43" s="137"/>
      <c r="Z43" s="137"/>
      <c r="AA43" s="137"/>
      <c r="AB43" s="137"/>
      <c r="AC43" s="137"/>
      <c r="AD43" s="137"/>
      <c r="AE43" s="137"/>
      <c r="AF43" s="137"/>
    </row>
    <row r="44" spans="1:32" ht="38.25">
      <c r="A44" s="108">
        <v>305</v>
      </c>
      <c r="B44" s="109" t="s">
        <v>87</v>
      </c>
      <c r="C44" s="108" t="s">
        <v>5</v>
      </c>
      <c r="D44" s="110">
        <v>0</v>
      </c>
      <c r="E44" s="90">
        <v>12.71</v>
      </c>
      <c r="F44" s="90">
        <f t="shared" si="22"/>
        <v>0</v>
      </c>
      <c r="G44" s="112">
        <f t="shared" si="17"/>
        <v>0</v>
      </c>
      <c r="H44" s="90">
        <f t="shared" si="18"/>
        <v>0</v>
      </c>
      <c r="I44" s="91">
        <f t="shared" si="19"/>
        <v>0</v>
      </c>
      <c r="J44" s="90">
        <f t="shared" si="20"/>
        <v>0</v>
      </c>
      <c r="K44" s="91">
        <f t="shared" si="13"/>
        <v>0</v>
      </c>
      <c r="L44" s="90">
        <f t="shared" si="21"/>
        <v>0</v>
      </c>
      <c r="M44" s="107"/>
      <c r="N44" s="198"/>
      <c r="O44" s="150"/>
      <c r="P44" s="150"/>
      <c r="Q44" s="193"/>
      <c r="R44" s="193"/>
      <c r="S44" s="137"/>
      <c r="T44" s="193"/>
      <c r="U44" s="192"/>
      <c r="V44" s="192"/>
      <c r="W44" s="192"/>
      <c r="X44" s="192"/>
      <c r="Y44" s="137"/>
      <c r="Z44" s="137"/>
      <c r="AA44" s="137"/>
      <c r="AB44" s="137"/>
      <c r="AC44" s="137"/>
      <c r="AD44" s="137"/>
      <c r="AE44" s="137"/>
      <c r="AF44" s="137"/>
    </row>
    <row r="45" spans="1:32" ht="38.25">
      <c r="A45" s="108">
        <v>306</v>
      </c>
      <c r="B45" s="109" t="s">
        <v>88</v>
      </c>
      <c r="C45" s="108" t="s">
        <v>5</v>
      </c>
      <c r="D45" s="110">
        <v>0</v>
      </c>
      <c r="E45" s="90">
        <v>20.69</v>
      </c>
      <c r="F45" s="90">
        <f t="shared" si="22"/>
        <v>0</v>
      </c>
      <c r="G45" s="112">
        <f t="shared" si="17"/>
        <v>0</v>
      </c>
      <c r="H45" s="90">
        <f t="shared" si="18"/>
        <v>0</v>
      </c>
      <c r="I45" s="91">
        <f t="shared" si="19"/>
        <v>0</v>
      </c>
      <c r="J45" s="90">
        <f t="shared" si="20"/>
        <v>0</v>
      </c>
      <c r="K45" s="91">
        <f t="shared" si="13"/>
        <v>0</v>
      </c>
      <c r="L45" s="90">
        <f t="shared" si="21"/>
        <v>0</v>
      </c>
      <c r="M45" s="107"/>
      <c r="N45" s="198"/>
      <c r="O45" s="150"/>
      <c r="P45" s="150"/>
      <c r="Q45" s="193"/>
      <c r="R45" s="193"/>
      <c r="S45" s="137"/>
      <c r="T45" s="193"/>
      <c r="U45" s="192"/>
      <c r="V45" s="192"/>
      <c r="W45" s="192"/>
      <c r="X45" s="192"/>
      <c r="Y45" s="137"/>
      <c r="Z45" s="137"/>
      <c r="AA45" s="137"/>
      <c r="AB45" s="137"/>
      <c r="AC45" s="137"/>
      <c r="AD45" s="137"/>
      <c r="AE45" s="137"/>
      <c r="AF45" s="137"/>
    </row>
    <row r="46" spans="1:32">
      <c r="A46" s="102">
        <v>4</v>
      </c>
      <c r="B46" s="103" t="s">
        <v>89</v>
      </c>
      <c r="C46" s="103"/>
      <c r="D46" s="104"/>
      <c r="E46" s="105"/>
      <c r="F46" s="105">
        <f>SUM(F47:F55)</f>
        <v>37120.6</v>
      </c>
      <c r="G46" s="106"/>
      <c r="H46" s="89">
        <f>TRUNC(SUM(H47:H55),2)</f>
        <v>11139.99</v>
      </c>
      <c r="I46" s="89"/>
      <c r="J46" s="89">
        <f>TRUNC(SUM(J47:J55),2)</f>
        <v>36411.589999999997</v>
      </c>
      <c r="K46" s="154"/>
      <c r="L46" s="89">
        <f>TRUNC(SUM(L47:L55),2)</f>
        <v>709</v>
      </c>
      <c r="M46" s="145"/>
      <c r="N46" s="199"/>
      <c r="O46" s="163"/>
      <c r="P46" s="163"/>
      <c r="Q46" s="164"/>
      <c r="R46" s="164"/>
      <c r="S46" s="165"/>
      <c r="T46" s="164"/>
      <c r="U46" s="165"/>
      <c r="V46" s="165"/>
      <c r="W46" s="165"/>
      <c r="X46" s="165"/>
      <c r="Y46" s="165"/>
      <c r="Z46" s="165"/>
      <c r="AA46" s="165"/>
      <c r="AB46" s="165"/>
      <c r="AC46" s="165"/>
      <c r="AD46" s="165"/>
      <c r="AE46" s="165"/>
      <c r="AF46" s="165"/>
    </row>
    <row r="47" spans="1:32" ht="38.25">
      <c r="A47" s="108">
        <v>401</v>
      </c>
      <c r="B47" s="109" t="s">
        <v>90</v>
      </c>
      <c r="C47" s="108" t="s">
        <v>10</v>
      </c>
      <c r="D47" s="110">
        <v>20</v>
      </c>
      <c r="E47" s="90">
        <v>656.68</v>
      </c>
      <c r="F47" s="90">
        <f t="shared" ref="F47:F55" si="23">TRUNC(D47 * E47, 2)</f>
        <v>13133.6</v>
      </c>
      <c r="G47" s="112">
        <f t="shared" si="8"/>
        <v>0</v>
      </c>
      <c r="H47" s="90">
        <f t="shared" ref="H47:H55" si="24">TRUNC(G47*E47,2)</f>
        <v>0</v>
      </c>
      <c r="I47" s="91">
        <f t="shared" si="9"/>
        <v>20</v>
      </c>
      <c r="J47" s="90">
        <f>TRUNC(I47*E47,2)</f>
        <v>13133.6</v>
      </c>
      <c r="K47" s="91">
        <f t="shared" si="13"/>
        <v>0</v>
      </c>
      <c r="L47" s="278">
        <f t="shared" ref="L47:L55" si="25">TRUNC(K47*E47,2)</f>
        <v>0</v>
      </c>
      <c r="M47" s="107">
        <f t="shared" si="7"/>
        <v>0</v>
      </c>
      <c r="N47" s="198"/>
      <c r="O47" s="150"/>
      <c r="P47" s="150"/>
      <c r="Q47" s="143"/>
      <c r="R47" s="193"/>
      <c r="S47" s="137"/>
      <c r="T47" s="193"/>
      <c r="U47" s="192"/>
      <c r="V47" s="192"/>
      <c r="W47" s="192"/>
      <c r="X47" s="192"/>
      <c r="Y47" s="137"/>
      <c r="Z47" s="137"/>
      <c r="AA47" s="137"/>
      <c r="AB47" s="137"/>
      <c r="AC47" s="137">
        <v>3</v>
      </c>
      <c r="AD47" s="137">
        <v>17</v>
      </c>
      <c r="AE47" s="137"/>
      <c r="AF47" s="137"/>
    </row>
    <row r="48" spans="1:32">
      <c r="A48" s="108">
        <v>402</v>
      </c>
      <c r="B48" s="109" t="s">
        <v>91</v>
      </c>
      <c r="C48" s="108" t="s">
        <v>99</v>
      </c>
      <c r="D48" s="110">
        <v>0</v>
      </c>
      <c r="E48" s="90">
        <v>29.51</v>
      </c>
      <c r="F48" s="90">
        <f t="shared" si="23"/>
        <v>0</v>
      </c>
      <c r="G48" s="112">
        <f t="shared" ref="G48:G55" si="26">AF48</f>
        <v>0</v>
      </c>
      <c r="H48" s="90">
        <f t="shared" si="24"/>
        <v>0</v>
      </c>
      <c r="I48" s="91">
        <f t="shared" ref="I48:I55" si="27">SUM(N48:AF48)</f>
        <v>0</v>
      </c>
      <c r="J48" s="90">
        <f t="shared" ref="J48:J55" si="28">TRUNC(I48*E48,2)</f>
        <v>0</v>
      </c>
      <c r="K48" s="91">
        <f t="shared" si="13"/>
        <v>0</v>
      </c>
      <c r="L48" s="278">
        <f t="shared" si="25"/>
        <v>0</v>
      </c>
      <c r="M48" s="107"/>
      <c r="N48" s="198"/>
      <c r="O48" s="150"/>
      <c r="P48" s="150"/>
      <c r="Q48" s="143"/>
      <c r="R48" s="193"/>
      <c r="S48" s="137"/>
      <c r="T48" s="193"/>
      <c r="U48" s="192"/>
      <c r="V48" s="192"/>
      <c r="W48" s="192"/>
      <c r="X48" s="192"/>
      <c r="Y48" s="137"/>
      <c r="Z48" s="137"/>
      <c r="AA48" s="137"/>
      <c r="AB48" s="137"/>
      <c r="AC48" s="137"/>
      <c r="AD48" s="137"/>
      <c r="AE48" s="137"/>
      <c r="AF48" s="137"/>
    </row>
    <row r="49" spans="1:32" ht="25.5">
      <c r="A49" s="108">
        <v>403</v>
      </c>
      <c r="B49" s="109" t="s">
        <v>92</v>
      </c>
      <c r="C49" s="108" t="s">
        <v>99</v>
      </c>
      <c r="D49" s="110">
        <v>0</v>
      </c>
      <c r="E49" s="90">
        <v>433.79</v>
      </c>
      <c r="F49" s="90">
        <f t="shared" si="23"/>
        <v>0</v>
      </c>
      <c r="G49" s="112">
        <f t="shared" si="26"/>
        <v>0</v>
      </c>
      <c r="H49" s="90">
        <f t="shared" si="24"/>
        <v>0</v>
      </c>
      <c r="I49" s="91">
        <f t="shared" si="27"/>
        <v>0</v>
      </c>
      <c r="J49" s="90">
        <f t="shared" si="28"/>
        <v>0</v>
      </c>
      <c r="K49" s="91">
        <f t="shared" si="13"/>
        <v>0</v>
      </c>
      <c r="L49" s="278">
        <f t="shared" si="25"/>
        <v>0</v>
      </c>
      <c r="M49" s="107"/>
      <c r="N49" s="198"/>
      <c r="O49" s="150"/>
      <c r="P49" s="150"/>
      <c r="Q49" s="143"/>
      <c r="R49" s="193"/>
      <c r="S49" s="137"/>
      <c r="T49" s="193"/>
      <c r="U49" s="192"/>
      <c r="V49" s="192"/>
      <c r="W49" s="192"/>
      <c r="X49" s="192"/>
      <c r="Y49" s="137"/>
      <c r="Z49" s="137"/>
      <c r="AA49" s="137"/>
      <c r="AB49" s="137"/>
      <c r="AC49" s="137"/>
      <c r="AD49" s="137"/>
      <c r="AE49" s="137"/>
      <c r="AF49" s="137"/>
    </row>
    <row r="50" spans="1:32" ht="25.5">
      <c r="A50" s="108">
        <v>404</v>
      </c>
      <c r="B50" s="109" t="s">
        <v>93</v>
      </c>
      <c r="C50" s="108" t="s">
        <v>99</v>
      </c>
      <c r="D50" s="110">
        <v>0</v>
      </c>
      <c r="E50" s="90">
        <v>348.72</v>
      </c>
      <c r="F50" s="90">
        <f t="shared" si="23"/>
        <v>0</v>
      </c>
      <c r="G50" s="112">
        <f t="shared" si="26"/>
        <v>0</v>
      </c>
      <c r="H50" s="90">
        <f t="shared" si="24"/>
        <v>0</v>
      </c>
      <c r="I50" s="91">
        <f t="shared" si="27"/>
        <v>0</v>
      </c>
      <c r="J50" s="90">
        <f t="shared" si="28"/>
        <v>0</v>
      </c>
      <c r="K50" s="91">
        <f t="shared" si="13"/>
        <v>0</v>
      </c>
      <c r="L50" s="278">
        <f t="shared" si="25"/>
        <v>0</v>
      </c>
      <c r="M50" s="107"/>
      <c r="N50" s="198"/>
      <c r="O50" s="150"/>
      <c r="P50" s="150"/>
      <c r="Q50" s="143"/>
      <c r="R50" s="193"/>
      <c r="S50" s="137"/>
      <c r="T50" s="193"/>
      <c r="U50" s="192"/>
      <c r="V50" s="192"/>
      <c r="W50" s="192"/>
      <c r="X50" s="192"/>
      <c r="Y50" s="137"/>
      <c r="Z50" s="137"/>
      <c r="AA50" s="137"/>
      <c r="AB50" s="137"/>
      <c r="AC50" s="137"/>
      <c r="AD50" s="137"/>
      <c r="AE50" s="137"/>
      <c r="AF50" s="137"/>
    </row>
    <row r="51" spans="1:32">
      <c r="A51" s="108">
        <v>405</v>
      </c>
      <c r="B51" s="109" t="s">
        <v>94</v>
      </c>
      <c r="C51" s="108" t="s">
        <v>99</v>
      </c>
      <c r="D51" s="110">
        <v>0</v>
      </c>
      <c r="E51" s="90">
        <v>5.89</v>
      </c>
      <c r="F51" s="90">
        <f t="shared" si="23"/>
        <v>0</v>
      </c>
      <c r="G51" s="112">
        <f t="shared" si="26"/>
        <v>0</v>
      </c>
      <c r="H51" s="90">
        <f t="shared" si="24"/>
        <v>0</v>
      </c>
      <c r="I51" s="91">
        <f t="shared" si="27"/>
        <v>0</v>
      </c>
      <c r="J51" s="90">
        <f t="shared" si="28"/>
        <v>0</v>
      </c>
      <c r="K51" s="91">
        <f t="shared" si="13"/>
        <v>0</v>
      </c>
      <c r="L51" s="278">
        <f t="shared" si="25"/>
        <v>0</v>
      </c>
      <c r="M51" s="107"/>
      <c r="N51" s="198"/>
      <c r="O51" s="150"/>
      <c r="P51" s="150"/>
      <c r="Q51" s="143"/>
      <c r="R51" s="193"/>
      <c r="S51" s="137"/>
      <c r="T51" s="193"/>
      <c r="U51" s="192"/>
      <c r="V51" s="192"/>
      <c r="W51" s="192"/>
      <c r="X51" s="192"/>
      <c r="Y51" s="137"/>
      <c r="Z51" s="137"/>
      <c r="AA51" s="137"/>
      <c r="AB51" s="137"/>
      <c r="AC51" s="137"/>
      <c r="AD51" s="137"/>
      <c r="AE51" s="137"/>
      <c r="AF51" s="137"/>
    </row>
    <row r="52" spans="1:32" ht="25.5">
      <c r="A52" s="108">
        <v>406</v>
      </c>
      <c r="B52" s="109" t="s">
        <v>95</v>
      </c>
      <c r="C52" s="108" t="s">
        <v>99</v>
      </c>
      <c r="D52" s="110">
        <v>0</v>
      </c>
      <c r="E52" s="90">
        <v>250.71</v>
      </c>
      <c r="F52" s="90">
        <f t="shared" si="23"/>
        <v>0</v>
      </c>
      <c r="G52" s="112">
        <f t="shared" si="26"/>
        <v>0</v>
      </c>
      <c r="H52" s="90">
        <f t="shared" si="24"/>
        <v>0</v>
      </c>
      <c r="I52" s="91">
        <f t="shared" si="27"/>
        <v>0</v>
      </c>
      <c r="J52" s="90">
        <f t="shared" si="28"/>
        <v>0</v>
      </c>
      <c r="K52" s="91">
        <f t="shared" si="13"/>
        <v>0</v>
      </c>
      <c r="L52" s="278">
        <f t="shared" si="25"/>
        <v>0</v>
      </c>
      <c r="M52" s="107"/>
      <c r="N52" s="198"/>
      <c r="O52" s="150"/>
      <c r="P52" s="150"/>
      <c r="Q52" s="143"/>
      <c r="R52" s="193"/>
      <c r="S52" s="137"/>
      <c r="T52" s="193"/>
      <c r="U52" s="192"/>
      <c r="V52" s="192"/>
      <c r="W52" s="192"/>
      <c r="X52" s="192"/>
      <c r="Y52" s="137"/>
      <c r="Z52" s="137"/>
      <c r="AA52" s="137"/>
      <c r="AB52" s="137"/>
      <c r="AC52" s="137"/>
      <c r="AD52" s="137"/>
      <c r="AE52" s="137"/>
      <c r="AF52" s="137"/>
    </row>
    <row r="53" spans="1:32" ht="25.5">
      <c r="A53" s="238">
        <v>407</v>
      </c>
      <c r="B53" s="111" t="s">
        <v>96</v>
      </c>
      <c r="C53" s="238" t="s">
        <v>99</v>
      </c>
      <c r="D53" s="110">
        <v>0</v>
      </c>
      <c r="E53" s="240">
        <v>18.87</v>
      </c>
      <c r="F53" s="240">
        <f t="shared" si="23"/>
        <v>0</v>
      </c>
      <c r="G53" s="112">
        <f t="shared" si="26"/>
        <v>0</v>
      </c>
      <c r="H53" s="240">
        <f t="shared" si="24"/>
        <v>0</v>
      </c>
      <c r="I53" s="241">
        <f t="shared" si="27"/>
        <v>0</v>
      </c>
      <c r="J53" s="240">
        <f t="shared" si="28"/>
        <v>0</v>
      </c>
      <c r="K53" s="241">
        <f t="shared" si="13"/>
        <v>0</v>
      </c>
      <c r="L53" s="279">
        <f t="shared" si="25"/>
        <v>0</v>
      </c>
      <c r="M53" s="107"/>
      <c r="N53" s="242"/>
      <c r="O53" s="243"/>
      <c r="P53" s="243"/>
      <c r="Q53" s="193"/>
      <c r="R53" s="193"/>
      <c r="S53" s="192"/>
      <c r="T53" s="193"/>
      <c r="U53" s="192"/>
      <c r="V53" s="192"/>
      <c r="W53" s="192"/>
      <c r="X53" s="192"/>
      <c r="Y53" s="192"/>
      <c r="Z53" s="192"/>
      <c r="AA53" s="192"/>
      <c r="AB53" s="192"/>
      <c r="AC53" s="192"/>
      <c r="AD53" s="192"/>
      <c r="AE53" s="192"/>
      <c r="AF53" s="192"/>
    </row>
    <row r="54" spans="1:32">
      <c r="A54" s="238">
        <v>408</v>
      </c>
      <c r="B54" s="111" t="s">
        <v>97</v>
      </c>
      <c r="C54" s="238" t="s">
        <v>45</v>
      </c>
      <c r="D54" s="110">
        <v>0</v>
      </c>
      <c r="E54" s="240">
        <v>13.87</v>
      </c>
      <c r="F54" s="240">
        <f t="shared" si="23"/>
        <v>0</v>
      </c>
      <c r="G54" s="112">
        <f t="shared" si="26"/>
        <v>0</v>
      </c>
      <c r="H54" s="240">
        <f t="shared" si="24"/>
        <v>0</v>
      </c>
      <c r="I54" s="241">
        <f t="shared" si="27"/>
        <v>0</v>
      </c>
      <c r="J54" s="240">
        <f t="shared" si="28"/>
        <v>0</v>
      </c>
      <c r="K54" s="241">
        <f t="shared" si="13"/>
        <v>0</v>
      </c>
      <c r="L54" s="279">
        <f t="shared" si="25"/>
        <v>0</v>
      </c>
      <c r="M54" s="107"/>
      <c r="N54" s="242"/>
      <c r="O54" s="243"/>
      <c r="P54" s="243"/>
      <c r="Q54" s="193"/>
      <c r="R54" s="193"/>
      <c r="S54" s="192"/>
      <c r="T54" s="193"/>
      <c r="U54" s="192"/>
      <c r="V54" s="192"/>
      <c r="W54" s="192"/>
      <c r="X54" s="192"/>
      <c r="Y54" s="192"/>
      <c r="Z54" s="192"/>
      <c r="AA54" s="192"/>
      <c r="AB54" s="192"/>
      <c r="AC54" s="192"/>
      <c r="AD54" s="192"/>
      <c r="AE54" s="192"/>
      <c r="AF54" s="192"/>
    </row>
    <row r="55" spans="1:32" ht="25.5">
      <c r="A55" s="238">
        <v>409</v>
      </c>
      <c r="B55" s="111" t="s">
        <v>98</v>
      </c>
      <c r="C55" s="238" t="s">
        <v>99</v>
      </c>
      <c r="D55" s="239">
        <v>4150</v>
      </c>
      <c r="E55" s="240">
        <v>5.78</v>
      </c>
      <c r="F55" s="240">
        <f t="shared" si="23"/>
        <v>23987</v>
      </c>
      <c r="G55" s="112">
        <f t="shared" si="26"/>
        <v>1927.3347999999996</v>
      </c>
      <c r="H55" s="240">
        <f t="shared" si="24"/>
        <v>11139.99</v>
      </c>
      <c r="I55" s="241">
        <f t="shared" si="27"/>
        <v>4027.3347999999996</v>
      </c>
      <c r="J55" s="240">
        <f t="shared" si="28"/>
        <v>23277.99</v>
      </c>
      <c r="K55" s="241">
        <f t="shared" si="13"/>
        <v>122.66520000000037</v>
      </c>
      <c r="L55" s="279">
        <f t="shared" si="25"/>
        <v>709</v>
      </c>
      <c r="M55" s="107">
        <f t="shared" si="7"/>
        <v>2.9557879518072379E-2</v>
      </c>
      <c r="N55" s="242"/>
      <c r="O55" s="243"/>
      <c r="P55" s="243"/>
      <c r="Q55" s="193"/>
      <c r="R55" s="193"/>
      <c r="S55" s="192"/>
      <c r="T55" s="193"/>
      <c r="U55" s="192"/>
      <c r="V55" s="192"/>
      <c r="W55" s="192"/>
      <c r="X55" s="192"/>
      <c r="Y55" s="192"/>
      <c r="Z55" s="192"/>
      <c r="AA55" s="192"/>
      <c r="AB55" s="192"/>
      <c r="AC55" s="192"/>
      <c r="AD55" s="192">
        <v>200</v>
      </c>
      <c r="AE55" s="192">
        <v>1900</v>
      </c>
      <c r="AF55" s="192">
        <v>1927.3347999999996</v>
      </c>
    </row>
    <row r="56" spans="1:32">
      <c r="A56" s="252"/>
      <c r="B56" s="253" t="s">
        <v>375</v>
      </c>
      <c r="C56" s="254"/>
      <c r="D56" s="260"/>
      <c r="E56" s="260"/>
      <c r="F56" s="276">
        <f>F57+F63+F68+F73+F75+F83+F95+F97+F99+F101</f>
        <v>160522.46709999998</v>
      </c>
      <c r="G56" s="273"/>
      <c r="H56" s="276">
        <f>H57+H63+H68+H73+H75+H83+H95+H97+H99+H101</f>
        <v>48145.649999999994</v>
      </c>
      <c r="I56" s="154"/>
      <c r="J56" s="276">
        <f>J57+J63+J68+J73+J75+J83+J95+J97+J99+J101</f>
        <v>48145.649999999994</v>
      </c>
      <c r="K56" s="154"/>
      <c r="L56" s="276">
        <f>L57+L63+L68+L73+L75+L83+L95+L97+L99+L101</f>
        <v>112376.77</v>
      </c>
      <c r="M56" s="107"/>
      <c r="N56" s="242"/>
      <c r="O56" s="243"/>
      <c r="P56" s="243"/>
      <c r="Q56" s="193"/>
      <c r="R56" s="193"/>
      <c r="S56" s="192"/>
      <c r="T56" s="193"/>
      <c r="U56" s="192"/>
      <c r="V56" s="192"/>
      <c r="W56" s="192"/>
      <c r="X56" s="192"/>
      <c r="Y56" s="192"/>
      <c r="Z56" s="192"/>
      <c r="AA56" s="192"/>
      <c r="AB56" s="192"/>
      <c r="AC56" s="192"/>
      <c r="AD56" s="192"/>
      <c r="AE56" s="192"/>
      <c r="AF56" s="192"/>
    </row>
    <row r="57" spans="1:32">
      <c r="A57" s="252" t="s">
        <v>376</v>
      </c>
      <c r="B57" s="268" t="s">
        <v>377</v>
      </c>
      <c r="C57" s="255"/>
      <c r="D57" s="255"/>
      <c r="E57" s="255"/>
      <c r="F57" s="261">
        <f>F58+F59+F60+F61+F62</f>
        <v>30127.9712</v>
      </c>
      <c r="G57" s="277"/>
      <c r="H57" s="89">
        <f>SUM(H58:H62)</f>
        <v>1639.24</v>
      </c>
      <c r="I57" s="155"/>
      <c r="J57" s="89">
        <f>SUM(J58:J62)</f>
        <v>1639.24</v>
      </c>
      <c r="K57" s="155"/>
      <c r="L57" s="89">
        <f>SUM(L58:L62)</f>
        <v>28488.699999999997</v>
      </c>
      <c r="M57" s="107"/>
      <c r="N57" s="242"/>
      <c r="O57" s="243"/>
      <c r="P57" s="243"/>
      <c r="Q57" s="193"/>
      <c r="R57" s="193"/>
      <c r="S57" s="192"/>
      <c r="T57" s="193"/>
      <c r="U57" s="192"/>
      <c r="V57" s="192"/>
      <c r="W57" s="192"/>
      <c r="X57" s="192"/>
      <c r="Y57" s="192"/>
      <c r="Z57" s="192"/>
      <c r="AA57" s="192"/>
      <c r="AB57" s="192"/>
      <c r="AC57" s="192"/>
      <c r="AD57" s="192"/>
      <c r="AE57" s="192"/>
      <c r="AF57" s="192"/>
    </row>
    <row r="58" spans="1:32" ht="38.25">
      <c r="A58" s="256" t="s">
        <v>378</v>
      </c>
      <c r="B58" s="257" t="s">
        <v>379</v>
      </c>
      <c r="C58" s="258" t="str">
        <f>'[2]MEDIÇÃO 02'!C35</f>
        <v>M2</v>
      </c>
      <c r="D58" s="262">
        <v>156.54</v>
      </c>
      <c r="E58" s="263">
        <v>2.92</v>
      </c>
      <c r="F58" s="264">
        <f>E58*D58</f>
        <v>457.09679999999997</v>
      </c>
      <c r="G58" s="112">
        <f t="shared" ref="G58:G62" si="29">AF58</f>
        <v>156.54</v>
      </c>
      <c r="H58" s="240">
        <f t="shared" ref="H58:H62" si="30">TRUNC(G58*E58,2)</f>
        <v>457.09</v>
      </c>
      <c r="I58" s="241">
        <f t="shared" ref="I58:I62" si="31">SUM(N58:AF58)</f>
        <v>156.54</v>
      </c>
      <c r="J58" s="240">
        <f t="shared" ref="J58:J62" si="32">TRUNC(I58*E58,2)</f>
        <v>457.09</v>
      </c>
      <c r="K58" s="241">
        <f t="shared" ref="K58:K62" si="33">D58-I58</f>
        <v>0</v>
      </c>
      <c r="L58" s="279">
        <f t="shared" ref="L58:L62" si="34">TRUNC(K58*E58,2)</f>
        <v>0</v>
      </c>
      <c r="M58" s="107">
        <f t="shared" ref="M58:M62" si="35">(D58-I58)/D58</f>
        <v>0</v>
      </c>
      <c r="N58" s="242"/>
      <c r="O58" s="243"/>
      <c r="P58" s="243"/>
      <c r="Q58" s="193"/>
      <c r="R58" s="193"/>
      <c r="S58" s="192"/>
      <c r="T58" s="193"/>
      <c r="U58" s="192"/>
      <c r="V58" s="192"/>
      <c r="W58" s="192"/>
      <c r="X58" s="192"/>
      <c r="Y58" s="192"/>
      <c r="Z58" s="192"/>
      <c r="AA58" s="192"/>
      <c r="AB58" s="192"/>
      <c r="AC58" s="192"/>
      <c r="AD58" s="192"/>
      <c r="AE58" s="192"/>
      <c r="AF58" s="192">
        <v>156.54</v>
      </c>
    </row>
    <row r="59" spans="1:32" ht="25.5">
      <c r="A59" s="256" t="s">
        <v>380</v>
      </c>
      <c r="B59" s="257" t="s">
        <v>381</v>
      </c>
      <c r="C59" s="259" t="s">
        <v>100</v>
      </c>
      <c r="D59" s="265">
        <v>6.26</v>
      </c>
      <c r="E59" s="266">
        <v>51.73</v>
      </c>
      <c r="F59" s="267">
        <f>E59*D59</f>
        <v>323.82979999999998</v>
      </c>
      <c r="G59" s="112">
        <f t="shared" si="29"/>
        <v>6.26</v>
      </c>
      <c r="H59" s="240">
        <f t="shared" si="30"/>
        <v>323.82</v>
      </c>
      <c r="I59" s="241">
        <f t="shared" si="31"/>
        <v>6.26</v>
      </c>
      <c r="J59" s="240">
        <f t="shared" si="32"/>
        <v>323.82</v>
      </c>
      <c r="K59" s="241">
        <f t="shared" si="33"/>
        <v>0</v>
      </c>
      <c r="L59" s="279">
        <f t="shared" si="34"/>
        <v>0</v>
      </c>
      <c r="M59" s="107">
        <f t="shared" si="35"/>
        <v>0</v>
      </c>
      <c r="N59" s="242"/>
      <c r="O59" s="243"/>
      <c r="P59" s="243"/>
      <c r="Q59" s="193"/>
      <c r="R59" s="193"/>
      <c r="S59" s="192"/>
      <c r="T59" s="193"/>
      <c r="U59" s="192"/>
      <c r="V59" s="192"/>
      <c r="W59" s="192"/>
      <c r="X59" s="192"/>
      <c r="Y59" s="192"/>
      <c r="Z59" s="192"/>
      <c r="AA59" s="192"/>
      <c r="AB59" s="192"/>
      <c r="AC59" s="192"/>
      <c r="AD59" s="192"/>
      <c r="AE59" s="192"/>
      <c r="AF59" s="192">
        <v>6.26</v>
      </c>
    </row>
    <row r="60" spans="1:32" ht="63.75">
      <c r="A60" s="256" t="s">
        <v>382</v>
      </c>
      <c r="B60" s="257" t="s">
        <v>383</v>
      </c>
      <c r="C60" s="259" t="s">
        <v>99</v>
      </c>
      <c r="D60" s="265">
        <v>156.54</v>
      </c>
      <c r="E60" s="266">
        <v>121.92</v>
      </c>
      <c r="F60" s="267">
        <f>E60*D60</f>
        <v>19085.356799999998</v>
      </c>
      <c r="G60" s="112">
        <f t="shared" si="29"/>
        <v>0</v>
      </c>
      <c r="H60" s="240">
        <f t="shared" si="30"/>
        <v>0</v>
      </c>
      <c r="I60" s="241">
        <f t="shared" si="31"/>
        <v>0</v>
      </c>
      <c r="J60" s="240">
        <f t="shared" si="32"/>
        <v>0</v>
      </c>
      <c r="K60" s="241">
        <f t="shared" si="33"/>
        <v>156.54</v>
      </c>
      <c r="L60" s="279">
        <f t="shared" si="34"/>
        <v>19085.349999999999</v>
      </c>
      <c r="M60" s="107">
        <f t="shared" si="35"/>
        <v>1</v>
      </c>
      <c r="N60" s="242"/>
      <c r="O60" s="243"/>
      <c r="P60" s="243"/>
      <c r="Q60" s="193"/>
      <c r="R60" s="193"/>
      <c r="S60" s="192"/>
      <c r="T60" s="193"/>
      <c r="U60" s="192"/>
      <c r="V60" s="192"/>
      <c r="W60" s="192"/>
      <c r="X60" s="192"/>
      <c r="Y60" s="192"/>
      <c r="Z60" s="192"/>
      <c r="AA60" s="192"/>
      <c r="AB60" s="192"/>
      <c r="AC60" s="192"/>
      <c r="AD60" s="192"/>
      <c r="AE60" s="192"/>
      <c r="AF60" s="192"/>
    </row>
    <row r="61" spans="1:32" ht="51">
      <c r="A61" s="256" t="s">
        <v>384</v>
      </c>
      <c r="B61" s="257" t="s">
        <v>385</v>
      </c>
      <c r="C61" s="259" t="s">
        <v>386</v>
      </c>
      <c r="D61" s="265">
        <v>297</v>
      </c>
      <c r="E61" s="266">
        <v>2.89</v>
      </c>
      <c r="F61" s="267">
        <f>E61*D61</f>
        <v>858.33</v>
      </c>
      <c r="G61" s="112">
        <f t="shared" si="29"/>
        <v>297</v>
      </c>
      <c r="H61" s="240">
        <f t="shared" si="30"/>
        <v>858.33</v>
      </c>
      <c r="I61" s="241">
        <f t="shared" si="31"/>
        <v>297</v>
      </c>
      <c r="J61" s="240">
        <f t="shared" si="32"/>
        <v>858.33</v>
      </c>
      <c r="K61" s="241">
        <f t="shared" si="33"/>
        <v>0</v>
      </c>
      <c r="L61" s="279">
        <f t="shared" si="34"/>
        <v>0</v>
      </c>
      <c r="M61" s="107">
        <f t="shared" si="35"/>
        <v>0</v>
      </c>
      <c r="N61" s="242"/>
      <c r="O61" s="243"/>
      <c r="P61" s="243"/>
      <c r="Q61" s="193"/>
      <c r="R61" s="193"/>
      <c r="S61" s="192"/>
      <c r="T61" s="193"/>
      <c r="U61" s="192"/>
      <c r="V61" s="192"/>
      <c r="W61" s="192"/>
      <c r="X61" s="192"/>
      <c r="Y61" s="192"/>
      <c r="Z61" s="192"/>
      <c r="AA61" s="192"/>
      <c r="AB61" s="192"/>
      <c r="AC61" s="192"/>
      <c r="AD61" s="192"/>
      <c r="AE61" s="192"/>
      <c r="AF61" s="192">
        <v>297</v>
      </c>
    </row>
    <row r="62" spans="1:32" ht="51">
      <c r="A62" s="256" t="s">
        <v>387</v>
      </c>
      <c r="B62" s="257" t="s">
        <v>388</v>
      </c>
      <c r="C62" s="259" t="s">
        <v>198</v>
      </c>
      <c r="D62" s="265">
        <v>156.54</v>
      </c>
      <c r="E62" s="266">
        <v>60.07</v>
      </c>
      <c r="F62" s="267">
        <f>E62*D62</f>
        <v>9403.3577999999998</v>
      </c>
      <c r="G62" s="112">
        <f t="shared" si="29"/>
        <v>0</v>
      </c>
      <c r="H62" s="240">
        <f t="shared" si="30"/>
        <v>0</v>
      </c>
      <c r="I62" s="241">
        <f t="shared" si="31"/>
        <v>0</v>
      </c>
      <c r="J62" s="240">
        <f t="shared" si="32"/>
        <v>0</v>
      </c>
      <c r="K62" s="241">
        <f t="shared" si="33"/>
        <v>156.54</v>
      </c>
      <c r="L62" s="279">
        <f t="shared" si="34"/>
        <v>9403.35</v>
      </c>
      <c r="M62" s="107">
        <f t="shared" si="35"/>
        <v>1</v>
      </c>
      <c r="N62" s="242"/>
      <c r="O62" s="243"/>
      <c r="P62" s="243"/>
      <c r="Q62" s="193"/>
      <c r="R62" s="193"/>
      <c r="S62" s="192"/>
      <c r="T62" s="193"/>
      <c r="U62" s="192"/>
      <c r="V62" s="192"/>
      <c r="W62" s="192"/>
      <c r="X62" s="192"/>
      <c r="Y62" s="192"/>
      <c r="Z62" s="192"/>
      <c r="AA62" s="192"/>
      <c r="AB62" s="192"/>
      <c r="AC62" s="192"/>
      <c r="AD62" s="192"/>
      <c r="AE62" s="192"/>
      <c r="AF62" s="192"/>
    </row>
    <row r="63" spans="1:32">
      <c r="A63" s="252" t="s">
        <v>389</v>
      </c>
      <c r="B63" s="270" t="s">
        <v>390</v>
      </c>
      <c r="C63" s="255"/>
      <c r="D63" s="260"/>
      <c r="E63" s="260"/>
      <c r="F63" s="261">
        <f>F64+F65+F66+F67</f>
        <v>9785.2125000000015</v>
      </c>
      <c r="G63" s="277"/>
      <c r="H63" s="89">
        <f>SUM(H64:H67)</f>
        <v>9785.2100000000009</v>
      </c>
      <c r="I63" s="155"/>
      <c r="J63" s="89">
        <f>SUM(J64:J67)</f>
        <v>9785.2100000000009</v>
      </c>
      <c r="K63" s="155"/>
      <c r="L63" s="89">
        <f>SUM(L64:L67)</f>
        <v>0</v>
      </c>
      <c r="M63" s="107"/>
      <c r="N63" s="242"/>
      <c r="O63" s="243"/>
      <c r="P63" s="243"/>
      <c r="Q63" s="193"/>
      <c r="R63" s="193"/>
      <c r="S63" s="192"/>
      <c r="T63" s="193"/>
      <c r="U63" s="192"/>
      <c r="V63" s="192"/>
      <c r="W63" s="192"/>
      <c r="X63" s="192"/>
      <c r="Y63" s="192"/>
      <c r="Z63" s="192"/>
      <c r="AA63" s="192"/>
      <c r="AB63" s="192"/>
      <c r="AC63" s="192"/>
      <c r="AD63" s="192"/>
      <c r="AE63" s="192"/>
      <c r="AF63" s="192"/>
    </row>
    <row r="64" spans="1:32">
      <c r="A64" s="256" t="s">
        <v>391</v>
      </c>
      <c r="B64" s="257" t="s">
        <v>392</v>
      </c>
      <c r="C64" s="259" t="s">
        <v>393</v>
      </c>
      <c r="D64" s="265">
        <v>207</v>
      </c>
      <c r="E64" s="266">
        <v>23.55</v>
      </c>
      <c r="F64" s="267">
        <f>E64*D64</f>
        <v>4874.8500000000004</v>
      </c>
      <c r="G64" s="112">
        <f t="shared" ref="G64:G67" si="36">AF64</f>
        <v>207</v>
      </c>
      <c r="H64" s="240">
        <f t="shared" ref="H64:H67" si="37">TRUNC(G64*E64,2)</f>
        <v>4874.8500000000004</v>
      </c>
      <c r="I64" s="241">
        <f t="shared" ref="I64:I67" si="38">SUM(N64:AF64)</f>
        <v>207</v>
      </c>
      <c r="J64" s="240">
        <f t="shared" ref="J64:J67" si="39">TRUNC(I64*E64,2)</f>
        <v>4874.8500000000004</v>
      </c>
      <c r="K64" s="241">
        <f t="shared" ref="K64:K67" si="40">D64-I64</f>
        <v>0</v>
      </c>
      <c r="L64" s="279">
        <f t="shared" ref="L64:L67" si="41">TRUNC(K64*E64,2)</f>
        <v>0</v>
      </c>
      <c r="M64" s="107">
        <f t="shared" ref="M64:M67" si="42">(D64-I64)/D64</f>
        <v>0</v>
      </c>
      <c r="N64" s="242"/>
      <c r="O64" s="243"/>
      <c r="P64" s="243"/>
      <c r="Q64" s="193"/>
      <c r="R64" s="193"/>
      <c r="S64" s="192"/>
      <c r="T64" s="193"/>
      <c r="U64" s="192"/>
      <c r="V64" s="192"/>
      <c r="W64" s="192"/>
      <c r="X64" s="192"/>
      <c r="Y64" s="192"/>
      <c r="Z64" s="192"/>
      <c r="AA64" s="192"/>
      <c r="AB64" s="192"/>
      <c r="AC64" s="192"/>
      <c r="AD64" s="192"/>
      <c r="AE64" s="192"/>
      <c r="AF64" s="192">
        <v>207</v>
      </c>
    </row>
    <row r="65" spans="1:32">
      <c r="A65" s="256" t="s">
        <v>394</v>
      </c>
      <c r="B65" s="257" t="s">
        <v>395</v>
      </c>
      <c r="C65" s="259" t="s">
        <v>393</v>
      </c>
      <c r="D65" s="265">
        <v>207</v>
      </c>
      <c r="E65" s="266">
        <v>19.420000000000002</v>
      </c>
      <c r="F65" s="267">
        <f>E65*D65</f>
        <v>4019.9400000000005</v>
      </c>
      <c r="G65" s="112">
        <f t="shared" si="36"/>
        <v>207</v>
      </c>
      <c r="H65" s="240">
        <f t="shared" si="37"/>
        <v>4019.94</v>
      </c>
      <c r="I65" s="241">
        <f t="shared" si="38"/>
        <v>207</v>
      </c>
      <c r="J65" s="240">
        <f t="shared" si="39"/>
        <v>4019.94</v>
      </c>
      <c r="K65" s="241">
        <f t="shared" si="40"/>
        <v>0</v>
      </c>
      <c r="L65" s="279">
        <f t="shared" si="41"/>
        <v>0</v>
      </c>
      <c r="M65" s="107">
        <f t="shared" si="42"/>
        <v>0</v>
      </c>
      <c r="N65" s="242"/>
      <c r="O65" s="243"/>
      <c r="P65" s="243"/>
      <c r="Q65" s="193"/>
      <c r="R65" s="193"/>
      <c r="S65" s="192"/>
      <c r="T65" s="193"/>
      <c r="U65" s="192"/>
      <c r="V65" s="192"/>
      <c r="W65" s="192"/>
      <c r="X65" s="192"/>
      <c r="Y65" s="192"/>
      <c r="Z65" s="192"/>
      <c r="AA65" s="192"/>
      <c r="AB65" s="192"/>
      <c r="AC65" s="192"/>
      <c r="AD65" s="192"/>
      <c r="AE65" s="192"/>
      <c r="AF65" s="192">
        <v>207</v>
      </c>
    </row>
    <row r="66" spans="1:32" ht="38.25">
      <c r="A66" s="256" t="s">
        <v>396</v>
      </c>
      <c r="B66" s="257" t="s">
        <v>397</v>
      </c>
      <c r="C66" s="259" t="str">
        <f>'[2]MEDIÇÃO 02'!C40</f>
        <v>M2</v>
      </c>
      <c r="D66" s="265">
        <v>11.55</v>
      </c>
      <c r="E66" s="266">
        <v>19.95</v>
      </c>
      <c r="F66" s="267">
        <f>E66*D66</f>
        <v>230.42250000000001</v>
      </c>
      <c r="G66" s="112">
        <f t="shared" si="36"/>
        <v>11.55</v>
      </c>
      <c r="H66" s="240">
        <f t="shared" si="37"/>
        <v>230.42</v>
      </c>
      <c r="I66" s="241">
        <f t="shared" si="38"/>
        <v>11.55</v>
      </c>
      <c r="J66" s="240">
        <f t="shared" si="39"/>
        <v>230.42</v>
      </c>
      <c r="K66" s="241">
        <f t="shared" si="40"/>
        <v>0</v>
      </c>
      <c r="L66" s="279">
        <f t="shared" si="41"/>
        <v>0</v>
      </c>
      <c r="M66" s="107">
        <f t="shared" si="42"/>
        <v>0</v>
      </c>
      <c r="N66" s="242"/>
      <c r="O66" s="243"/>
      <c r="P66" s="243"/>
      <c r="Q66" s="193"/>
      <c r="R66" s="193"/>
      <c r="S66" s="192"/>
      <c r="T66" s="193"/>
      <c r="U66" s="192"/>
      <c r="V66" s="192"/>
      <c r="W66" s="192"/>
      <c r="X66" s="192"/>
      <c r="Y66" s="192"/>
      <c r="Z66" s="192"/>
      <c r="AA66" s="192"/>
      <c r="AB66" s="192"/>
      <c r="AC66" s="192"/>
      <c r="AD66" s="192"/>
      <c r="AE66" s="192"/>
      <c r="AF66" s="192">
        <v>11.55</v>
      </c>
    </row>
    <row r="67" spans="1:32">
      <c r="A67" s="256" t="s">
        <v>398</v>
      </c>
      <c r="B67" s="257" t="s">
        <v>399</v>
      </c>
      <c r="C67" s="259" t="s">
        <v>393</v>
      </c>
      <c r="D67" s="265">
        <v>22</v>
      </c>
      <c r="E67" s="266">
        <v>30</v>
      </c>
      <c r="F67" s="267">
        <f>E67*D67</f>
        <v>660</v>
      </c>
      <c r="G67" s="112">
        <f t="shared" si="36"/>
        <v>22</v>
      </c>
      <c r="H67" s="240">
        <f t="shared" si="37"/>
        <v>660</v>
      </c>
      <c r="I67" s="241">
        <f t="shared" si="38"/>
        <v>22</v>
      </c>
      <c r="J67" s="240">
        <f t="shared" si="39"/>
        <v>660</v>
      </c>
      <c r="K67" s="241">
        <f t="shared" si="40"/>
        <v>0</v>
      </c>
      <c r="L67" s="279">
        <f t="shared" si="41"/>
        <v>0</v>
      </c>
      <c r="M67" s="107">
        <f t="shared" si="42"/>
        <v>0</v>
      </c>
      <c r="N67" s="242"/>
      <c r="O67" s="243"/>
      <c r="P67" s="243"/>
      <c r="Q67" s="193"/>
      <c r="R67" s="193"/>
      <c r="S67" s="192"/>
      <c r="T67" s="193"/>
      <c r="U67" s="192"/>
      <c r="V67" s="192"/>
      <c r="W67" s="192"/>
      <c r="X67" s="192"/>
      <c r="Y67" s="192"/>
      <c r="Z67" s="192"/>
      <c r="AA67" s="192"/>
      <c r="AB67" s="192"/>
      <c r="AC67" s="192"/>
      <c r="AD67" s="192"/>
      <c r="AE67" s="192"/>
      <c r="AF67" s="192">
        <v>22</v>
      </c>
    </row>
    <row r="68" spans="1:32" ht="25.5">
      <c r="A68" s="252" t="s">
        <v>400</v>
      </c>
      <c r="B68" s="269" t="s">
        <v>401</v>
      </c>
      <c r="C68" s="255"/>
      <c r="D68" s="260"/>
      <c r="E68" s="260"/>
      <c r="F68" s="261">
        <f>F69+F70+F71+F72</f>
        <v>2082</v>
      </c>
      <c r="G68" s="277"/>
      <c r="H68" s="89">
        <f>SUM(H69:H72)</f>
        <v>1995</v>
      </c>
      <c r="I68" s="155"/>
      <c r="J68" s="89">
        <f>SUM(J69:J72)</f>
        <v>1995</v>
      </c>
      <c r="K68" s="155"/>
      <c r="L68" s="89">
        <f>SUM(L69:L72)</f>
        <v>87</v>
      </c>
      <c r="M68" s="107"/>
      <c r="N68" s="242"/>
      <c r="O68" s="243"/>
      <c r="P68" s="243"/>
      <c r="Q68" s="193"/>
      <c r="R68" s="193"/>
      <c r="S68" s="192"/>
      <c r="T68" s="193"/>
      <c r="U68" s="192"/>
      <c r="V68" s="192"/>
      <c r="W68" s="192"/>
      <c r="X68" s="192"/>
      <c r="Y68" s="192"/>
      <c r="Z68" s="192"/>
      <c r="AA68" s="192"/>
      <c r="AB68" s="192"/>
      <c r="AC68" s="192"/>
      <c r="AD68" s="192"/>
      <c r="AE68" s="192"/>
      <c r="AF68" s="192"/>
    </row>
    <row r="69" spans="1:32">
      <c r="A69" s="256" t="s">
        <v>402</v>
      </c>
      <c r="B69" s="257" t="s">
        <v>403</v>
      </c>
      <c r="C69" s="259" t="s">
        <v>404</v>
      </c>
      <c r="D69" s="265">
        <v>32</v>
      </c>
      <c r="E69" s="266">
        <v>7.95</v>
      </c>
      <c r="F69" s="267">
        <f>ROUND(E69*D69,2)</f>
        <v>254.4</v>
      </c>
      <c r="G69" s="112">
        <f t="shared" ref="G69:G72" si="43">AF69</f>
        <v>32</v>
      </c>
      <c r="H69" s="240">
        <f t="shared" ref="H69:H72" si="44">TRUNC(G69*E69,2)</f>
        <v>254.4</v>
      </c>
      <c r="I69" s="241">
        <f t="shared" ref="I69:I72" si="45">SUM(N69:AF69)</f>
        <v>32</v>
      </c>
      <c r="J69" s="240">
        <f t="shared" ref="J69:J72" si="46">TRUNC(I69*E69,2)</f>
        <v>254.4</v>
      </c>
      <c r="K69" s="241">
        <f t="shared" ref="K69:K72" si="47">D69-I69</f>
        <v>0</v>
      </c>
      <c r="L69" s="279">
        <f t="shared" ref="L69:L72" si="48">TRUNC(K69*E69,2)</f>
        <v>0</v>
      </c>
      <c r="M69" s="107">
        <f t="shared" ref="M69:M72" si="49">(D69-I69)/D69</f>
        <v>0</v>
      </c>
      <c r="N69" s="242"/>
      <c r="O69" s="243"/>
      <c r="P69" s="243"/>
      <c r="Q69" s="193"/>
      <c r="R69" s="193"/>
      <c r="S69" s="192"/>
      <c r="T69" s="193"/>
      <c r="U69" s="192"/>
      <c r="V69" s="192"/>
      <c r="W69" s="192"/>
      <c r="X69" s="192"/>
      <c r="Y69" s="192"/>
      <c r="Z69" s="192"/>
      <c r="AA69" s="192"/>
      <c r="AB69" s="192"/>
      <c r="AC69" s="192"/>
      <c r="AD69" s="192"/>
      <c r="AE69" s="192"/>
      <c r="AF69" s="192">
        <v>32</v>
      </c>
    </row>
    <row r="70" spans="1:32">
      <c r="A70" s="256" t="s">
        <v>405</v>
      </c>
      <c r="B70" s="257" t="s">
        <v>406</v>
      </c>
      <c r="C70" s="259" t="s">
        <v>393</v>
      </c>
      <c r="D70" s="265">
        <v>36</v>
      </c>
      <c r="E70" s="266">
        <v>26.42</v>
      </c>
      <c r="F70" s="267">
        <f>ROUND(E70*D70,2)</f>
        <v>951.12</v>
      </c>
      <c r="G70" s="112">
        <f t="shared" si="43"/>
        <v>36</v>
      </c>
      <c r="H70" s="240">
        <f t="shared" si="44"/>
        <v>951.12</v>
      </c>
      <c r="I70" s="241">
        <f t="shared" si="45"/>
        <v>36</v>
      </c>
      <c r="J70" s="240">
        <f t="shared" si="46"/>
        <v>951.12</v>
      </c>
      <c r="K70" s="241">
        <f t="shared" si="47"/>
        <v>0</v>
      </c>
      <c r="L70" s="279">
        <f t="shared" si="48"/>
        <v>0</v>
      </c>
      <c r="M70" s="107">
        <f t="shared" si="49"/>
        <v>0</v>
      </c>
      <c r="N70" s="242"/>
      <c r="O70" s="243"/>
      <c r="P70" s="243"/>
      <c r="Q70" s="193"/>
      <c r="R70" s="193"/>
      <c r="S70" s="192"/>
      <c r="T70" s="193"/>
      <c r="U70" s="192"/>
      <c r="V70" s="192"/>
      <c r="W70" s="192"/>
      <c r="X70" s="192"/>
      <c r="Y70" s="192"/>
      <c r="Z70" s="192"/>
      <c r="AA70" s="192"/>
      <c r="AB70" s="192"/>
      <c r="AC70" s="192"/>
      <c r="AD70" s="192"/>
      <c r="AE70" s="192"/>
      <c r="AF70" s="192">
        <v>36</v>
      </c>
    </row>
    <row r="71" spans="1:32" ht="25.5">
      <c r="A71" s="256" t="s">
        <v>407</v>
      </c>
      <c r="B71" s="257" t="s">
        <v>408</v>
      </c>
      <c r="C71" s="259" t="s">
        <v>393</v>
      </c>
      <c r="D71" s="265">
        <v>36</v>
      </c>
      <c r="E71" s="266">
        <v>21.68</v>
      </c>
      <c r="F71" s="267">
        <f>ROUND(E71*D71,2)</f>
        <v>780.48</v>
      </c>
      <c r="G71" s="112">
        <f t="shared" si="43"/>
        <v>36</v>
      </c>
      <c r="H71" s="240">
        <f t="shared" si="44"/>
        <v>780.48</v>
      </c>
      <c r="I71" s="241">
        <f t="shared" si="45"/>
        <v>36</v>
      </c>
      <c r="J71" s="240">
        <f t="shared" si="46"/>
        <v>780.48</v>
      </c>
      <c r="K71" s="241">
        <f t="shared" si="47"/>
        <v>0</v>
      </c>
      <c r="L71" s="279">
        <f t="shared" si="48"/>
        <v>0</v>
      </c>
      <c r="M71" s="107">
        <f t="shared" si="49"/>
        <v>0</v>
      </c>
      <c r="N71" s="242"/>
      <c r="O71" s="243"/>
      <c r="P71" s="243"/>
      <c r="Q71" s="193"/>
      <c r="R71" s="193"/>
      <c r="S71" s="192"/>
      <c r="T71" s="193"/>
      <c r="U71" s="192"/>
      <c r="V71" s="192"/>
      <c r="W71" s="192"/>
      <c r="X71" s="192"/>
      <c r="Y71" s="192"/>
      <c r="Z71" s="192"/>
      <c r="AA71" s="192"/>
      <c r="AB71" s="192"/>
      <c r="AC71" s="192"/>
      <c r="AD71" s="192"/>
      <c r="AE71" s="192"/>
      <c r="AF71" s="192">
        <v>36</v>
      </c>
    </row>
    <row r="72" spans="1:32" ht="25.5">
      <c r="A72" s="256" t="s">
        <v>409</v>
      </c>
      <c r="B72" s="257" t="s">
        <v>410</v>
      </c>
      <c r="C72" s="259" t="s">
        <v>404</v>
      </c>
      <c r="D72" s="265">
        <v>32</v>
      </c>
      <c r="E72" s="266">
        <v>3</v>
      </c>
      <c r="F72" s="267">
        <f>ROUND(E72*D72,2)</f>
        <v>96</v>
      </c>
      <c r="G72" s="112">
        <f t="shared" si="43"/>
        <v>3</v>
      </c>
      <c r="H72" s="240">
        <f t="shared" si="44"/>
        <v>9</v>
      </c>
      <c r="I72" s="241">
        <f t="shared" si="45"/>
        <v>3</v>
      </c>
      <c r="J72" s="240">
        <f t="shared" si="46"/>
        <v>9</v>
      </c>
      <c r="K72" s="241">
        <f t="shared" si="47"/>
        <v>29</v>
      </c>
      <c r="L72" s="279">
        <f t="shared" si="48"/>
        <v>87</v>
      </c>
      <c r="M72" s="107">
        <f t="shared" si="49"/>
        <v>0.90625</v>
      </c>
      <c r="N72" s="242"/>
      <c r="O72" s="243"/>
      <c r="P72" s="243"/>
      <c r="Q72" s="193"/>
      <c r="R72" s="193"/>
      <c r="S72" s="192"/>
      <c r="T72" s="193"/>
      <c r="U72" s="192"/>
      <c r="V72" s="192"/>
      <c r="W72" s="192"/>
      <c r="X72" s="192"/>
      <c r="Y72" s="192"/>
      <c r="Z72" s="192"/>
      <c r="AA72" s="192"/>
      <c r="AB72" s="192"/>
      <c r="AC72" s="192"/>
      <c r="AD72" s="192"/>
      <c r="AE72" s="192"/>
      <c r="AF72" s="192">
        <v>3</v>
      </c>
    </row>
    <row r="73" spans="1:32">
      <c r="A73" s="252" t="s">
        <v>411</v>
      </c>
      <c r="B73" s="270" t="s">
        <v>412</v>
      </c>
      <c r="C73" s="255"/>
      <c r="D73" s="260"/>
      <c r="E73" s="260"/>
      <c r="F73" s="261">
        <f>F74</f>
        <v>5500</v>
      </c>
      <c r="G73" s="277"/>
      <c r="H73" s="89">
        <f>SUM(H74)</f>
        <v>0</v>
      </c>
      <c r="I73" s="155"/>
      <c r="J73" s="89">
        <f>SUM(J74)</f>
        <v>0</v>
      </c>
      <c r="K73" s="155"/>
      <c r="L73" s="89">
        <f>SUM(L74)</f>
        <v>5500</v>
      </c>
      <c r="M73" s="107"/>
      <c r="N73" s="242"/>
      <c r="O73" s="243"/>
      <c r="P73" s="243"/>
      <c r="Q73" s="193"/>
      <c r="R73" s="193"/>
      <c r="S73" s="192"/>
      <c r="T73" s="193"/>
      <c r="U73" s="192"/>
      <c r="V73" s="192"/>
      <c r="W73" s="192"/>
      <c r="X73" s="192"/>
      <c r="Y73" s="192"/>
      <c r="Z73" s="192"/>
      <c r="AA73" s="192"/>
      <c r="AB73" s="192"/>
      <c r="AC73" s="192"/>
      <c r="AD73" s="192"/>
      <c r="AE73" s="192"/>
      <c r="AF73" s="192"/>
    </row>
    <row r="74" spans="1:32" ht="25.5">
      <c r="A74" s="256" t="s">
        <v>413</v>
      </c>
      <c r="B74" s="257" t="s">
        <v>414</v>
      </c>
      <c r="C74" s="259" t="s">
        <v>415</v>
      </c>
      <c r="D74" s="265">
        <v>1</v>
      </c>
      <c r="E74" s="266">
        <v>5500</v>
      </c>
      <c r="F74" s="267">
        <f>ROUND(E74*D74,2)</f>
        <v>5500</v>
      </c>
      <c r="G74" s="112">
        <f t="shared" ref="G74" si="50">AF74</f>
        <v>0</v>
      </c>
      <c r="H74" s="240">
        <f t="shared" ref="H74" si="51">TRUNC(G74*E74,2)</f>
        <v>0</v>
      </c>
      <c r="I74" s="241">
        <f t="shared" ref="I74" si="52">SUM(N74:AF74)</f>
        <v>0</v>
      </c>
      <c r="J74" s="240">
        <f t="shared" ref="J74" si="53">TRUNC(I74*E74,2)</f>
        <v>0</v>
      </c>
      <c r="K74" s="241">
        <f t="shared" ref="K74" si="54">D74-I74</f>
        <v>1</v>
      </c>
      <c r="L74" s="279">
        <f t="shared" ref="L74" si="55">TRUNC(K74*E74,2)</f>
        <v>5500</v>
      </c>
      <c r="M74" s="107">
        <f t="shared" ref="M74" si="56">(D74-I74)/D74</f>
        <v>1</v>
      </c>
      <c r="N74" s="242"/>
      <c r="O74" s="243"/>
      <c r="P74" s="243"/>
      <c r="Q74" s="193"/>
      <c r="R74" s="193"/>
      <c r="S74" s="192"/>
      <c r="T74" s="193"/>
      <c r="U74" s="192"/>
      <c r="V74" s="192"/>
      <c r="W74" s="192"/>
      <c r="X74" s="192"/>
      <c r="Y74" s="192"/>
      <c r="Z74" s="192"/>
      <c r="AA74" s="192"/>
      <c r="AB74" s="192"/>
      <c r="AC74" s="192"/>
      <c r="AD74" s="192"/>
      <c r="AE74" s="192"/>
      <c r="AF74" s="192"/>
    </row>
    <row r="75" spans="1:32">
      <c r="A75" s="252" t="s">
        <v>416</v>
      </c>
      <c r="B75" s="270" t="s">
        <v>355</v>
      </c>
      <c r="C75" s="272"/>
      <c r="D75" s="260"/>
      <c r="E75" s="260"/>
      <c r="F75" s="275">
        <f>F76+F77+F78+F79+F80+F81+F82</f>
        <v>21646.854599999999</v>
      </c>
      <c r="G75" s="277"/>
      <c r="H75" s="89">
        <f>SUM(H76:H82)</f>
        <v>19373.03</v>
      </c>
      <c r="I75" s="155"/>
      <c r="J75" s="89">
        <f>SUM(J76:J82)</f>
        <v>19373.03</v>
      </c>
      <c r="K75" s="155"/>
      <c r="L75" s="89">
        <f>SUM(L76:L82)</f>
        <v>2273.8199999999997</v>
      </c>
      <c r="M75" s="107"/>
      <c r="N75" s="242"/>
      <c r="O75" s="243"/>
      <c r="P75" s="243"/>
      <c r="Q75" s="193"/>
      <c r="R75" s="193"/>
      <c r="S75" s="192"/>
      <c r="T75" s="193"/>
      <c r="U75" s="192"/>
      <c r="V75" s="192"/>
      <c r="W75" s="192"/>
      <c r="X75" s="192"/>
      <c r="Y75" s="192"/>
      <c r="Z75" s="192"/>
      <c r="AA75" s="192"/>
      <c r="AB75" s="192"/>
      <c r="AC75" s="192"/>
      <c r="AD75" s="192"/>
      <c r="AE75" s="192"/>
      <c r="AF75" s="192"/>
    </row>
    <row r="76" spans="1:32" ht="38.25">
      <c r="A76" s="256" t="s">
        <v>417</v>
      </c>
      <c r="B76" s="257" t="s">
        <v>418</v>
      </c>
      <c r="C76" s="271" t="s">
        <v>5</v>
      </c>
      <c r="D76" s="265">
        <v>48</v>
      </c>
      <c r="E76" s="274">
        <v>21.56</v>
      </c>
      <c r="F76" s="267">
        <f>D76*E76</f>
        <v>1034.8799999999999</v>
      </c>
      <c r="G76" s="112">
        <f t="shared" ref="G76:G82" si="57">AF76</f>
        <v>48</v>
      </c>
      <c r="H76" s="240">
        <f t="shared" ref="H76:H82" si="58">TRUNC(G76*E76,2)</f>
        <v>1034.8800000000001</v>
      </c>
      <c r="I76" s="241">
        <f t="shared" ref="I76:I82" si="59">SUM(N76:AF76)</f>
        <v>48</v>
      </c>
      <c r="J76" s="240">
        <f t="shared" ref="J76:J82" si="60">TRUNC(I76*E76,2)</f>
        <v>1034.8800000000001</v>
      </c>
      <c r="K76" s="241">
        <f t="shared" ref="K76:K82" si="61">D76-I76</f>
        <v>0</v>
      </c>
      <c r="L76" s="279">
        <f t="shared" ref="L76:L82" si="62">TRUNC(K76*E76,2)</f>
        <v>0</v>
      </c>
      <c r="M76" s="107">
        <f t="shared" ref="M76:M82" si="63">(D76-I76)/D76</f>
        <v>0</v>
      </c>
      <c r="N76" s="242"/>
      <c r="O76" s="243"/>
      <c r="P76" s="243"/>
      <c r="Q76" s="193"/>
      <c r="R76" s="193"/>
      <c r="S76" s="192"/>
      <c r="T76" s="193"/>
      <c r="U76" s="192"/>
      <c r="V76" s="192"/>
      <c r="W76" s="192"/>
      <c r="X76" s="192"/>
      <c r="Y76" s="192"/>
      <c r="Z76" s="192"/>
      <c r="AA76" s="192"/>
      <c r="AB76" s="192"/>
      <c r="AC76" s="192"/>
      <c r="AD76" s="192"/>
      <c r="AE76" s="192"/>
      <c r="AF76" s="192">
        <v>48</v>
      </c>
    </row>
    <row r="77" spans="1:32" ht="38.25">
      <c r="A77" s="256" t="s">
        <v>419</v>
      </c>
      <c r="B77" s="257" t="s">
        <v>420</v>
      </c>
      <c r="C77" s="271" t="s">
        <v>99</v>
      </c>
      <c r="D77" s="265">
        <v>1342.38</v>
      </c>
      <c r="E77" s="274">
        <v>12.67</v>
      </c>
      <c r="F77" s="267">
        <f t="shared" ref="F77:F82" si="64">D77*E77</f>
        <v>17007.954600000001</v>
      </c>
      <c r="G77" s="112">
        <f t="shared" si="57"/>
        <v>1342.38</v>
      </c>
      <c r="H77" s="240">
        <f t="shared" si="58"/>
        <v>17007.95</v>
      </c>
      <c r="I77" s="241">
        <f t="shared" si="59"/>
        <v>1342.38</v>
      </c>
      <c r="J77" s="240">
        <f t="shared" si="60"/>
        <v>17007.95</v>
      </c>
      <c r="K77" s="241">
        <f t="shared" si="61"/>
        <v>0</v>
      </c>
      <c r="L77" s="279">
        <f t="shared" si="62"/>
        <v>0</v>
      </c>
      <c r="M77" s="107">
        <f t="shared" si="63"/>
        <v>0</v>
      </c>
      <c r="N77" s="242"/>
      <c r="O77" s="243"/>
      <c r="P77" s="243"/>
      <c r="Q77" s="193"/>
      <c r="R77" s="193"/>
      <c r="S77" s="192"/>
      <c r="T77" s="193"/>
      <c r="U77" s="192"/>
      <c r="V77" s="192"/>
      <c r="W77" s="192"/>
      <c r="X77" s="192"/>
      <c r="Y77" s="192"/>
      <c r="Z77" s="192"/>
      <c r="AA77" s="192"/>
      <c r="AB77" s="192"/>
      <c r="AC77" s="192"/>
      <c r="AD77" s="192"/>
      <c r="AE77" s="192"/>
      <c r="AF77" s="192">
        <v>1342.38</v>
      </c>
    </row>
    <row r="78" spans="1:32" ht="25.5">
      <c r="A78" s="256" t="s">
        <v>421</v>
      </c>
      <c r="B78" s="257" t="s">
        <v>422</v>
      </c>
      <c r="C78" s="271" t="s">
        <v>423</v>
      </c>
      <c r="D78" s="265">
        <v>72</v>
      </c>
      <c r="E78" s="274">
        <v>12.61</v>
      </c>
      <c r="F78" s="267">
        <f t="shared" si="64"/>
        <v>907.92</v>
      </c>
      <c r="G78" s="112">
        <f t="shared" si="57"/>
        <v>0</v>
      </c>
      <c r="H78" s="240">
        <f t="shared" si="58"/>
        <v>0</v>
      </c>
      <c r="I78" s="241">
        <f t="shared" si="59"/>
        <v>0</v>
      </c>
      <c r="J78" s="240">
        <f t="shared" si="60"/>
        <v>0</v>
      </c>
      <c r="K78" s="241">
        <f t="shared" si="61"/>
        <v>72</v>
      </c>
      <c r="L78" s="279">
        <f t="shared" si="62"/>
        <v>907.92</v>
      </c>
      <c r="M78" s="107">
        <f t="shared" si="63"/>
        <v>1</v>
      </c>
      <c r="N78" s="242"/>
      <c r="O78" s="243"/>
      <c r="P78" s="243"/>
      <c r="Q78" s="193"/>
      <c r="R78" s="193"/>
      <c r="S78" s="192"/>
      <c r="T78" s="193"/>
      <c r="U78" s="192"/>
      <c r="V78" s="192"/>
      <c r="W78" s="192"/>
      <c r="X78" s="192"/>
      <c r="Y78" s="192"/>
      <c r="Z78" s="192"/>
      <c r="AA78" s="192"/>
      <c r="AB78" s="192"/>
      <c r="AC78" s="192"/>
      <c r="AD78" s="192"/>
      <c r="AE78" s="192"/>
      <c r="AF78" s="192"/>
    </row>
    <row r="79" spans="1:32">
      <c r="A79" s="256" t="s">
        <v>424</v>
      </c>
      <c r="B79" s="257" t="s">
        <v>425</v>
      </c>
      <c r="C79" s="271" t="s">
        <v>393</v>
      </c>
      <c r="D79" s="265">
        <v>30</v>
      </c>
      <c r="E79" s="274">
        <v>24.79</v>
      </c>
      <c r="F79" s="267">
        <f t="shared" si="64"/>
        <v>743.69999999999993</v>
      </c>
      <c r="G79" s="112">
        <f t="shared" si="57"/>
        <v>0</v>
      </c>
      <c r="H79" s="240">
        <f t="shared" si="58"/>
        <v>0</v>
      </c>
      <c r="I79" s="241">
        <f t="shared" si="59"/>
        <v>0</v>
      </c>
      <c r="J79" s="240">
        <f t="shared" si="60"/>
        <v>0</v>
      </c>
      <c r="K79" s="241">
        <f t="shared" si="61"/>
        <v>30</v>
      </c>
      <c r="L79" s="279">
        <f t="shared" si="62"/>
        <v>743.7</v>
      </c>
      <c r="M79" s="107">
        <f t="shared" si="63"/>
        <v>1</v>
      </c>
      <c r="N79" s="242"/>
      <c r="O79" s="243"/>
      <c r="P79" s="243"/>
      <c r="Q79" s="193"/>
      <c r="R79" s="193"/>
      <c r="S79" s="192"/>
      <c r="T79" s="193"/>
      <c r="U79" s="192"/>
      <c r="V79" s="192"/>
      <c r="W79" s="192"/>
      <c r="X79" s="192"/>
      <c r="Y79" s="192"/>
      <c r="Z79" s="192"/>
      <c r="AA79" s="192"/>
      <c r="AB79" s="192"/>
      <c r="AC79" s="192"/>
      <c r="AD79" s="192"/>
      <c r="AE79" s="192"/>
      <c r="AF79" s="192"/>
    </row>
    <row r="80" spans="1:32">
      <c r="A80" s="256" t="s">
        <v>424</v>
      </c>
      <c r="B80" s="257" t="s">
        <v>426</v>
      </c>
      <c r="C80" s="271" t="s">
        <v>393</v>
      </c>
      <c r="D80" s="265">
        <v>30</v>
      </c>
      <c r="E80" s="274">
        <v>20.74</v>
      </c>
      <c r="F80" s="267">
        <f t="shared" si="64"/>
        <v>622.19999999999993</v>
      </c>
      <c r="G80" s="112">
        <f t="shared" si="57"/>
        <v>0</v>
      </c>
      <c r="H80" s="240">
        <f t="shared" si="58"/>
        <v>0</v>
      </c>
      <c r="I80" s="241">
        <f t="shared" si="59"/>
        <v>0</v>
      </c>
      <c r="J80" s="240">
        <f t="shared" si="60"/>
        <v>0</v>
      </c>
      <c r="K80" s="241">
        <f t="shared" si="61"/>
        <v>30</v>
      </c>
      <c r="L80" s="279">
        <f t="shared" si="62"/>
        <v>622.20000000000005</v>
      </c>
      <c r="M80" s="107">
        <f t="shared" si="63"/>
        <v>1</v>
      </c>
      <c r="N80" s="242"/>
      <c r="O80" s="243"/>
      <c r="P80" s="243"/>
      <c r="Q80" s="193"/>
      <c r="R80" s="193"/>
      <c r="S80" s="192"/>
      <c r="T80" s="193"/>
      <c r="U80" s="192"/>
      <c r="V80" s="192"/>
      <c r="W80" s="192"/>
      <c r="X80" s="192"/>
      <c r="Y80" s="192"/>
      <c r="Z80" s="192"/>
      <c r="AA80" s="192"/>
      <c r="AB80" s="192"/>
      <c r="AC80" s="192"/>
      <c r="AD80" s="192"/>
      <c r="AE80" s="192"/>
      <c r="AF80" s="192"/>
    </row>
    <row r="81" spans="1:32">
      <c r="A81" s="256" t="s">
        <v>427</v>
      </c>
      <c r="B81" s="257" t="s">
        <v>470</v>
      </c>
      <c r="C81" s="271" t="s">
        <v>428</v>
      </c>
      <c r="D81" s="265">
        <v>18</v>
      </c>
      <c r="E81" s="274">
        <v>28.2</v>
      </c>
      <c r="F81" s="267">
        <f t="shared" si="64"/>
        <v>507.59999999999997</v>
      </c>
      <c r="G81" s="112">
        <f t="shared" si="57"/>
        <v>18</v>
      </c>
      <c r="H81" s="240">
        <f t="shared" si="58"/>
        <v>507.6</v>
      </c>
      <c r="I81" s="241">
        <f t="shared" si="59"/>
        <v>18</v>
      </c>
      <c r="J81" s="240">
        <f t="shared" si="60"/>
        <v>507.6</v>
      </c>
      <c r="K81" s="241">
        <f t="shared" si="61"/>
        <v>0</v>
      </c>
      <c r="L81" s="279">
        <f t="shared" si="62"/>
        <v>0</v>
      </c>
      <c r="M81" s="107">
        <f t="shared" si="63"/>
        <v>0</v>
      </c>
      <c r="N81" s="242"/>
      <c r="O81" s="243"/>
      <c r="P81" s="243"/>
      <c r="Q81" s="193"/>
      <c r="R81" s="193"/>
      <c r="S81" s="192"/>
      <c r="T81" s="193"/>
      <c r="U81" s="192"/>
      <c r="V81" s="192"/>
      <c r="W81" s="192"/>
      <c r="X81" s="192"/>
      <c r="Y81" s="192"/>
      <c r="Z81" s="192"/>
      <c r="AA81" s="192"/>
      <c r="AB81" s="192"/>
      <c r="AC81" s="192"/>
      <c r="AD81" s="192"/>
      <c r="AE81" s="192"/>
      <c r="AF81" s="192">
        <v>18</v>
      </c>
    </row>
    <row r="82" spans="1:32" ht="25.5">
      <c r="A82" s="256" t="s">
        <v>429</v>
      </c>
      <c r="B82" s="280" t="s">
        <v>430</v>
      </c>
      <c r="C82" s="271" t="s">
        <v>428</v>
      </c>
      <c r="D82" s="265">
        <v>18</v>
      </c>
      <c r="E82" s="274">
        <v>45.7</v>
      </c>
      <c r="F82" s="267">
        <f t="shared" si="64"/>
        <v>822.6</v>
      </c>
      <c r="G82" s="112">
        <f t="shared" si="57"/>
        <v>18</v>
      </c>
      <c r="H82" s="240">
        <f t="shared" si="58"/>
        <v>822.6</v>
      </c>
      <c r="I82" s="241">
        <f t="shared" si="59"/>
        <v>18</v>
      </c>
      <c r="J82" s="240">
        <f t="shared" si="60"/>
        <v>822.6</v>
      </c>
      <c r="K82" s="241">
        <f t="shared" si="61"/>
        <v>0</v>
      </c>
      <c r="L82" s="279">
        <f t="shared" si="62"/>
        <v>0</v>
      </c>
      <c r="M82" s="107">
        <f t="shared" si="63"/>
        <v>0</v>
      </c>
      <c r="N82" s="242"/>
      <c r="O82" s="243"/>
      <c r="P82" s="243"/>
      <c r="Q82" s="193"/>
      <c r="R82" s="193"/>
      <c r="S82" s="192"/>
      <c r="T82" s="193"/>
      <c r="U82" s="192"/>
      <c r="V82" s="192"/>
      <c r="W82" s="192"/>
      <c r="X82" s="192"/>
      <c r="Y82" s="192"/>
      <c r="Z82" s="192"/>
      <c r="AA82" s="192"/>
      <c r="AB82" s="192"/>
      <c r="AC82" s="192"/>
      <c r="AD82" s="192"/>
      <c r="AE82" s="192"/>
      <c r="AF82" s="192">
        <v>18</v>
      </c>
    </row>
    <row r="83" spans="1:32">
      <c r="A83" s="252" t="s">
        <v>431</v>
      </c>
      <c r="B83" s="270" t="s">
        <v>432</v>
      </c>
      <c r="C83" s="272"/>
      <c r="D83" s="260"/>
      <c r="E83" s="260"/>
      <c r="F83" s="261">
        <f>SUM(F84:F94)</f>
        <v>61752.652800000003</v>
      </c>
      <c r="G83" s="277"/>
      <c r="H83" s="89">
        <f>SUM(H84:H94)</f>
        <v>636.21</v>
      </c>
      <c r="I83" s="155"/>
      <c r="J83" s="89">
        <f>SUM(J84:J94)</f>
        <v>636.21</v>
      </c>
      <c r="K83" s="155"/>
      <c r="L83" s="89">
        <f>SUM(L84:L94)</f>
        <v>61116.44000000001</v>
      </c>
      <c r="M83" s="107"/>
      <c r="N83" s="242"/>
      <c r="O83" s="243"/>
      <c r="P83" s="243"/>
      <c r="Q83" s="193"/>
      <c r="R83" s="193"/>
      <c r="S83" s="192"/>
      <c r="T83" s="193"/>
      <c r="U83" s="192"/>
      <c r="V83" s="192"/>
      <c r="W83" s="192"/>
      <c r="X83" s="192"/>
      <c r="Y83" s="192"/>
      <c r="Z83" s="192"/>
      <c r="AA83" s="192"/>
      <c r="AB83" s="192"/>
      <c r="AC83" s="192"/>
      <c r="AD83" s="192"/>
      <c r="AE83" s="192"/>
      <c r="AF83" s="192"/>
    </row>
    <row r="84" spans="1:32">
      <c r="A84" s="256" t="s">
        <v>433</v>
      </c>
      <c r="B84" s="257" t="s">
        <v>406</v>
      </c>
      <c r="C84" s="271" t="s">
        <v>393</v>
      </c>
      <c r="D84" s="265">
        <v>200</v>
      </c>
      <c r="E84" s="274">
        <v>26.42</v>
      </c>
      <c r="F84" s="267">
        <f>D84*E84</f>
        <v>5284</v>
      </c>
      <c r="G84" s="112">
        <f t="shared" ref="G84:G94" si="65">AF84</f>
        <v>0</v>
      </c>
      <c r="H84" s="240">
        <f t="shared" ref="H84:H94" si="66">TRUNC(G84*E84,2)</f>
        <v>0</v>
      </c>
      <c r="I84" s="241">
        <f t="shared" ref="I84:I94" si="67">SUM(N84:AF84)</f>
        <v>0</v>
      </c>
      <c r="J84" s="240">
        <f t="shared" ref="J84:J94" si="68">TRUNC(I84*E84,2)</f>
        <v>0</v>
      </c>
      <c r="K84" s="241">
        <f t="shared" ref="K84:K94" si="69">D84-I84</f>
        <v>200</v>
      </c>
      <c r="L84" s="279">
        <f t="shared" ref="L84:L94" si="70">TRUNC(K84*E84,2)</f>
        <v>5284</v>
      </c>
      <c r="M84" s="107">
        <f t="shared" ref="M84:M94" si="71">(D84-I84)/D84</f>
        <v>1</v>
      </c>
      <c r="N84" s="242"/>
      <c r="O84" s="243"/>
      <c r="P84" s="243"/>
      <c r="Q84" s="193"/>
      <c r="R84" s="193"/>
      <c r="S84" s="192"/>
      <c r="T84" s="193"/>
      <c r="U84" s="192"/>
      <c r="V84" s="192"/>
      <c r="W84" s="192"/>
      <c r="X84" s="192"/>
      <c r="Y84" s="192"/>
      <c r="Z84" s="192"/>
      <c r="AA84" s="192"/>
      <c r="AB84" s="192"/>
      <c r="AC84" s="192"/>
      <c r="AD84" s="192"/>
      <c r="AE84" s="192"/>
      <c r="AF84" s="192"/>
    </row>
    <row r="85" spans="1:32" ht="25.5">
      <c r="A85" s="256" t="s">
        <v>434</v>
      </c>
      <c r="B85" s="257" t="s">
        <v>435</v>
      </c>
      <c r="C85" s="271" t="s">
        <v>102</v>
      </c>
      <c r="D85" s="265">
        <v>1</v>
      </c>
      <c r="E85" s="274">
        <v>3849.33</v>
      </c>
      <c r="F85" s="267">
        <f t="shared" ref="F85:F94" si="72">D85*E85</f>
        <v>3849.33</v>
      </c>
      <c r="G85" s="112">
        <f t="shared" si="65"/>
        <v>0</v>
      </c>
      <c r="H85" s="240">
        <f t="shared" si="66"/>
        <v>0</v>
      </c>
      <c r="I85" s="241">
        <f t="shared" si="67"/>
        <v>0</v>
      </c>
      <c r="J85" s="240">
        <f t="shared" si="68"/>
        <v>0</v>
      </c>
      <c r="K85" s="241">
        <f t="shared" si="69"/>
        <v>1</v>
      </c>
      <c r="L85" s="279">
        <f t="shared" si="70"/>
        <v>3849.33</v>
      </c>
      <c r="M85" s="107">
        <f t="shared" si="71"/>
        <v>1</v>
      </c>
      <c r="N85" s="242"/>
      <c r="O85" s="243"/>
      <c r="P85" s="243"/>
      <c r="Q85" s="193"/>
      <c r="R85" s="193"/>
      <c r="S85" s="192"/>
      <c r="T85" s="193"/>
      <c r="U85" s="192"/>
      <c r="V85" s="192"/>
      <c r="W85" s="192"/>
      <c r="X85" s="192"/>
      <c r="Y85" s="192"/>
      <c r="Z85" s="192"/>
      <c r="AA85" s="192"/>
      <c r="AB85" s="192"/>
      <c r="AC85" s="192"/>
      <c r="AD85" s="192"/>
      <c r="AE85" s="192"/>
      <c r="AF85" s="192"/>
    </row>
    <row r="86" spans="1:32" ht="51">
      <c r="A86" s="256" t="s">
        <v>436</v>
      </c>
      <c r="B86" s="281" t="s">
        <v>437</v>
      </c>
      <c r="C86" s="271" t="s">
        <v>5</v>
      </c>
      <c r="D86" s="265">
        <v>594</v>
      </c>
      <c r="E86" s="274">
        <v>4.82</v>
      </c>
      <c r="F86" s="267">
        <f t="shared" si="72"/>
        <v>2863.0800000000004</v>
      </c>
      <c r="G86" s="112">
        <f t="shared" si="65"/>
        <v>0</v>
      </c>
      <c r="H86" s="240">
        <f t="shared" si="66"/>
        <v>0</v>
      </c>
      <c r="I86" s="241">
        <f t="shared" si="67"/>
        <v>0</v>
      </c>
      <c r="J86" s="240">
        <f t="shared" si="68"/>
        <v>0</v>
      </c>
      <c r="K86" s="241">
        <f t="shared" si="69"/>
        <v>594</v>
      </c>
      <c r="L86" s="279">
        <f t="shared" si="70"/>
        <v>2863.08</v>
      </c>
      <c r="M86" s="107">
        <f t="shared" si="71"/>
        <v>1</v>
      </c>
      <c r="N86" s="242"/>
      <c r="O86" s="243"/>
      <c r="P86" s="243"/>
      <c r="Q86" s="193"/>
      <c r="R86" s="193"/>
      <c r="S86" s="192"/>
      <c r="T86" s="193"/>
      <c r="U86" s="192"/>
      <c r="V86" s="192"/>
      <c r="W86" s="192"/>
      <c r="X86" s="192"/>
      <c r="Y86" s="192"/>
      <c r="Z86" s="192"/>
      <c r="AA86" s="192"/>
      <c r="AB86" s="192"/>
      <c r="AC86" s="192"/>
      <c r="AD86" s="192"/>
      <c r="AE86" s="192"/>
      <c r="AF86" s="192"/>
    </row>
    <row r="87" spans="1:32" ht="51">
      <c r="A87" s="256" t="s">
        <v>438</v>
      </c>
      <c r="B87" s="257" t="s">
        <v>439</v>
      </c>
      <c r="C87" s="271" t="s">
        <v>5</v>
      </c>
      <c r="D87" s="265">
        <v>98.18</v>
      </c>
      <c r="E87" s="274">
        <v>34.46</v>
      </c>
      <c r="F87" s="267">
        <f t="shared" si="72"/>
        <v>3383.2828000000004</v>
      </c>
      <c r="G87" s="112">
        <f t="shared" si="65"/>
        <v>0</v>
      </c>
      <c r="H87" s="240">
        <f t="shared" si="66"/>
        <v>0</v>
      </c>
      <c r="I87" s="241">
        <f t="shared" si="67"/>
        <v>0</v>
      </c>
      <c r="J87" s="240">
        <f t="shared" si="68"/>
        <v>0</v>
      </c>
      <c r="K87" s="241">
        <f t="shared" si="69"/>
        <v>98.18</v>
      </c>
      <c r="L87" s="279">
        <f t="shared" si="70"/>
        <v>3383.28</v>
      </c>
      <c r="M87" s="107">
        <f t="shared" si="71"/>
        <v>1</v>
      </c>
      <c r="N87" s="242"/>
      <c r="O87" s="243"/>
      <c r="P87" s="243"/>
      <c r="Q87" s="193"/>
      <c r="R87" s="193"/>
      <c r="S87" s="192"/>
      <c r="T87" s="193"/>
      <c r="U87" s="192"/>
      <c r="V87" s="192"/>
      <c r="W87" s="192"/>
      <c r="X87" s="192"/>
      <c r="Y87" s="192"/>
      <c r="Z87" s="192"/>
      <c r="AA87" s="192"/>
      <c r="AB87" s="192"/>
      <c r="AC87" s="192"/>
      <c r="AD87" s="192"/>
      <c r="AE87" s="192"/>
      <c r="AF87" s="192"/>
    </row>
    <row r="88" spans="1:32" ht="38.25">
      <c r="A88" s="256" t="s">
        <v>440</v>
      </c>
      <c r="B88" s="257" t="s">
        <v>441</v>
      </c>
      <c r="C88" s="271" t="s">
        <v>415</v>
      </c>
      <c r="D88" s="265">
        <v>27</v>
      </c>
      <c r="E88" s="274">
        <v>14.75</v>
      </c>
      <c r="F88" s="267">
        <f t="shared" si="72"/>
        <v>398.25</v>
      </c>
      <c r="G88" s="112">
        <f t="shared" si="65"/>
        <v>0</v>
      </c>
      <c r="H88" s="240">
        <f t="shared" si="66"/>
        <v>0</v>
      </c>
      <c r="I88" s="241">
        <f t="shared" si="67"/>
        <v>0</v>
      </c>
      <c r="J88" s="240">
        <f t="shared" si="68"/>
        <v>0</v>
      </c>
      <c r="K88" s="241">
        <f t="shared" si="69"/>
        <v>27</v>
      </c>
      <c r="L88" s="279">
        <f t="shared" si="70"/>
        <v>398.25</v>
      </c>
      <c r="M88" s="107">
        <f t="shared" si="71"/>
        <v>1</v>
      </c>
      <c r="N88" s="242"/>
      <c r="O88" s="243"/>
      <c r="P88" s="243"/>
      <c r="Q88" s="193"/>
      <c r="R88" s="193"/>
      <c r="S88" s="192"/>
      <c r="T88" s="193"/>
      <c r="U88" s="192"/>
      <c r="V88" s="192"/>
      <c r="W88" s="192"/>
      <c r="X88" s="192"/>
      <c r="Y88" s="192"/>
      <c r="Z88" s="192"/>
      <c r="AA88" s="192"/>
      <c r="AB88" s="192"/>
      <c r="AC88" s="192"/>
      <c r="AD88" s="192"/>
      <c r="AE88" s="192"/>
      <c r="AF88" s="192"/>
    </row>
    <row r="89" spans="1:32" ht="38.25">
      <c r="A89" s="256" t="s">
        <v>442</v>
      </c>
      <c r="B89" s="257" t="s">
        <v>471</v>
      </c>
      <c r="C89" s="271" t="s">
        <v>5</v>
      </c>
      <c r="D89" s="265">
        <v>675</v>
      </c>
      <c r="E89" s="274">
        <f>14.12+17*1.4</f>
        <v>37.919999999999995</v>
      </c>
      <c r="F89" s="267">
        <f t="shared" si="72"/>
        <v>25595.999999999996</v>
      </c>
      <c r="G89" s="112">
        <f t="shared" si="65"/>
        <v>0</v>
      </c>
      <c r="H89" s="240">
        <f t="shared" si="66"/>
        <v>0</v>
      </c>
      <c r="I89" s="241">
        <f t="shared" si="67"/>
        <v>0</v>
      </c>
      <c r="J89" s="240">
        <f t="shared" si="68"/>
        <v>0</v>
      </c>
      <c r="K89" s="241">
        <f t="shared" si="69"/>
        <v>675</v>
      </c>
      <c r="L89" s="279">
        <f t="shared" si="70"/>
        <v>25596</v>
      </c>
      <c r="M89" s="107">
        <f t="shared" si="71"/>
        <v>1</v>
      </c>
      <c r="N89" s="242"/>
      <c r="O89" s="243"/>
      <c r="P89" s="243"/>
      <c r="Q89" s="193"/>
      <c r="R89" s="193"/>
      <c r="S89" s="192"/>
      <c r="T89" s="193"/>
      <c r="U89" s="192"/>
      <c r="V89" s="192"/>
      <c r="W89" s="192"/>
      <c r="X89" s="192"/>
      <c r="Y89" s="192"/>
      <c r="Z89" s="192"/>
      <c r="AA89" s="192"/>
      <c r="AB89" s="192"/>
      <c r="AC89" s="192"/>
      <c r="AD89" s="192"/>
      <c r="AE89" s="192"/>
      <c r="AF89" s="192"/>
    </row>
    <row r="90" spans="1:32" ht="25.5">
      <c r="A90" s="256" t="s">
        <v>443</v>
      </c>
      <c r="B90" s="257" t="s">
        <v>444</v>
      </c>
      <c r="C90" s="271" t="s">
        <v>404</v>
      </c>
      <c r="D90" s="265">
        <v>18</v>
      </c>
      <c r="E90" s="274">
        <v>700</v>
      </c>
      <c r="F90" s="267">
        <f t="shared" si="72"/>
        <v>12600</v>
      </c>
      <c r="G90" s="112">
        <f t="shared" si="65"/>
        <v>0</v>
      </c>
      <c r="H90" s="240">
        <f t="shared" si="66"/>
        <v>0</v>
      </c>
      <c r="I90" s="241">
        <f t="shared" si="67"/>
        <v>0</v>
      </c>
      <c r="J90" s="240">
        <f t="shared" si="68"/>
        <v>0</v>
      </c>
      <c r="K90" s="241">
        <f t="shared" si="69"/>
        <v>18</v>
      </c>
      <c r="L90" s="279">
        <f t="shared" si="70"/>
        <v>12600</v>
      </c>
      <c r="M90" s="107">
        <f t="shared" si="71"/>
        <v>1</v>
      </c>
      <c r="N90" s="242"/>
      <c r="O90" s="243"/>
      <c r="P90" s="243"/>
      <c r="Q90" s="193"/>
      <c r="R90" s="193"/>
      <c r="S90" s="192"/>
      <c r="T90" s="193"/>
      <c r="U90" s="192"/>
      <c r="V90" s="192"/>
      <c r="W90" s="192"/>
      <c r="X90" s="192"/>
      <c r="Y90" s="192"/>
      <c r="Z90" s="192"/>
      <c r="AA90" s="192"/>
      <c r="AB90" s="192"/>
      <c r="AC90" s="192"/>
      <c r="AD90" s="192"/>
      <c r="AE90" s="192"/>
      <c r="AF90" s="192"/>
    </row>
    <row r="91" spans="1:32" ht="38.25">
      <c r="A91" s="256" t="s">
        <v>445</v>
      </c>
      <c r="B91" s="257" t="s">
        <v>446</v>
      </c>
      <c r="C91" s="271" t="s">
        <v>5</v>
      </c>
      <c r="D91" s="265">
        <v>40</v>
      </c>
      <c r="E91" s="274">
        <v>19.510000000000002</v>
      </c>
      <c r="F91" s="267">
        <f t="shared" si="72"/>
        <v>780.40000000000009</v>
      </c>
      <c r="G91" s="112">
        <f t="shared" si="65"/>
        <v>0</v>
      </c>
      <c r="H91" s="240">
        <f t="shared" si="66"/>
        <v>0</v>
      </c>
      <c r="I91" s="241">
        <f t="shared" si="67"/>
        <v>0</v>
      </c>
      <c r="J91" s="240">
        <f t="shared" si="68"/>
        <v>0</v>
      </c>
      <c r="K91" s="241">
        <f t="shared" si="69"/>
        <v>40</v>
      </c>
      <c r="L91" s="279">
        <f t="shared" si="70"/>
        <v>780.4</v>
      </c>
      <c r="M91" s="107">
        <f t="shared" si="71"/>
        <v>1</v>
      </c>
      <c r="N91" s="242"/>
      <c r="O91" s="243"/>
      <c r="P91" s="243"/>
      <c r="Q91" s="193"/>
      <c r="R91" s="193"/>
      <c r="S91" s="192"/>
      <c r="T91" s="193"/>
      <c r="U91" s="192"/>
      <c r="V91" s="192"/>
      <c r="W91" s="192"/>
      <c r="X91" s="192"/>
      <c r="Y91" s="192"/>
      <c r="Z91" s="192"/>
      <c r="AA91" s="192"/>
      <c r="AB91" s="192"/>
      <c r="AC91" s="192"/>
      <c r="AD91" s="192"/>
      <c r="AE91" s="192"/>
      <c r="AF91" s="192"/>
    </row>
    <row r="92" spans="1:32" ht="63.75">
      <c r="A92" s="256" t="s">
        <v>447</v>
      </c>
      <c r="B92" s="257" t="s">
        <v>448</v>
      </c>
      <c r="C92" s="271" t="s">
        <v>5</v>
      </c>
      <c r="D92" s="265">
        <v>11</v>
      </c>
      <c r="E92" s="274">
        <v>232.65</v>
      </c>
      <c r="F92" s="267">
        <f t="shared" si="72"/>
        <v>2559.15</v>
      </c>
      <c r="G92" s="112">
        <f t="shared" si="65"/>
        <v>1</v>
      </c>
      <c r="H92" s="240">
        <f t="shared" si="66"/>
        <v>232.65</v>
      </c>
      <c r="I92" s="241">
        <f t="shared" si="67"/>
        <v>1</v>
      </c>
      <c r="J92" s="240">
        <f t="shared" si="68"/>
        <v>232.65</v>
      </c>
      <c r="K92" s="241">
        <f t="shared" si="69"/>
        <v>10</v>
      </c>
      <c r="L92" s="279">
        <f t="shared" si="70"/>
        <v>2326.5</v>
      </c>
      <c r="M92" s="107">
        <f t="shared" si="71"/>
        <v>0.90909090909090906</v>
      </c>
      <c r="N92" s="242"/>
      <c r="O92" s="243"/>
      <c r="P92" s="243"/>
      <c r="Q92" s="193"/>
      <c r="R92" s="193"/>
      <c r="S92" s="192"/>
      <c r="T92" s="193"/>
      <c r="U92" s="192"/>
      <c r="V92" s="192"/>
      <c r="W92" s="192"/>
      <c r="X92" s="192"/>
      <c r="Y92" s="192"/>
      <c r="Z92" s="192"/>
      <c r="AA92" s="192"/>
      <c r="AB92" s="192"/>
      <c r="AC92" s="192"/>
      <c r="AD92" s="192"/>
      <c r="AE92" s="192"/>
      <c r="AF92" s="192">
        <v>1</v>
      </c>
    </row>
    <row r="93" spans="1:32">
      <c r="A93" s="256" t="s">
        <v>449</v>
      </c>
      <c r="B93" s="257" t="s">
        <v>450</v>
      </c>
      <c r="C93" s="271" t="s">
        <v>415</v>
      </c>
      <c r="D93" s="265">
        <v>11</v>
      </c>
      <c r="E93" s="274">
        <v>14.88</v>
      </c>
      <c r="F93" s="267">
        <f t="shared" si="72"/>
        <v>163.68</v>
      </c>
      <c r="G93" s="112">
        <f t="shared" si="65"/>
        <v>1</v>
      </c>
      <c r="H93" s="240">
        <f t="shared" si="66"/>
        <v>14.88</v>
      </c>
      <c r="I93" s="241">
        <f t="shared" si="67"/>
        <v>1</v>
      </c>
      <c r="J93" s="240">
        <f t="shared" si="68"/>
        <v>14.88</v>
      </c>
      <c r="K93" s="241">
        <f t="shared" si="69"/>
        <v>10</v>
      </c>
      <c r="L93" s="279">
        <f t="shared" si="70"/>
        <v>148.80000000000001</v>
      </c>
      <c r="M93" s="107">
        <f t="shared" si="71"/>
        <v>0.90909090909090906</v>
      </c>
      <c r="N93" s="242"/>
      <c r="O93" s="243"/>
      <c r="P93" s="243"/>
      <c r="Q93" s="193"/>
      <c r="R93" s="193"/>
      <c r="S93" s="192"/>
      <c r="T93" s="193"/>
      <c r="U93" s="192"/>
      <c r="V93" s="192"/>
      <c r="W93" s="192"/>
      <c r="X93" s="192"/>
      <c r="Y93" s="192"/>
      <c r="Z93" s="192"/>
      <c r="AA93" s="192"/>
      <c r="AB93" s="192"/>
      <c r="AC93" s="192"/>
      <c r="AD93" s="192"/>
      <c r="AE93" s="192"/>
      <c r="AF93" s="192">
        <v>1</v>
      </c>
    </row>
    <row r="94" spans="1:32" ht="38.25">
      <c r="A94" s="256" t="s">
        <v>451</v>
      </c>
      <c r="B94" s="257" t="s">
        <v>452</v>
      </c>
      <c r="C94" s="271" t="s">
        <v>415</v>
      </c>
      <c r="D94" s="265">
        <v>11</v>
      </c>
      <c r="E94" s="274">
        <v>388.68</v>
      </c>
      <c r="F94" s="267">
        <f t="shared" si="72"/>
        <v>4275.4800000000005</v>
      </c>
      <c r="G94" s="112">
        <f t="shared" si="65"/>
        <v>1</v>
      </c>
      <c r="H94" s="240">
        <f t="shared" si="66"/>
        <v>388.68</v>
      </c>
      <c r="I94" s="241">
        <f t="shared" si="67"/>
        <v>1</v>
      </c>
      <c r="J94" s="240">
        <f t="shared" si="68"/>
        <v>388.68</v>
      </c>
      <c r="K94" s="241">
        <f t="shared" si="69"/>
        <v>10</v>
      </c>
      <c r="L94" s="279">
        <f t="shared" si="70"/>
        <v>3886.8</v>
      </c>
      <c r="M94" s="107">
        <f t="shared" si="71"/>
        <v>0.90909090909090906</v>
      </c>
      <c r="N94" s="242"/>
      <c r="O94" s="243"/>
      <c r="P94" s="243"/>
      <c r="Q94" s="193"/>
      <c r="R94" s="193"/>
      <c r="S94" s="192"/>
      <c r="T94" s="193"/>
      <c r="U94" s="192"/>
      <c r="V94" s="192"/>
      <c r="W94" s="192"/>
      <c r="X94" s="192"/>
      <c r="Y94" s="192"/>
      <c r="Z94" s="192"/>
      <c r="AA94" s="192"/>
      <c r="AB94" s="192"/>
      <c r="AC94" s="192"/>
      <c r="AD94" s="192"/>
      <c r="AE94" s="192"/>
      <c r="AF94" s="192">
        <v>1</v>
      </c>
    </row>
    <row r="95" spans="1:32">
      <c r="A95" s="252" t="s">
        <v>453</v>
      </c>
      <c r="B95" s="269" t="s">
        <v>454</v>
      </c>
      <c r="C95" s="272"/>
      <c r="D95" s="260"/>
      <c r="E95" s="260"/>
      <c r="F95" s="261">
        <f>F96</f>
        <v>14716.96</v>
      </c>
      <c r="G95" s="277"/>
      <c r="H95" s="89">
        <f>SUM(H96)</f>
        <v>14716.96</v>
      </c>
      <c r="I95" s="155"/>
      <c r="J95" s="89">
        <f>SUM(J96)</f>
        <v>14716.96</v>
      </c>
      <c r="K95" s="155"/>
      <c r="L95" s="89">
        <f>SUM(L96)</f>
        <v>0</v>
      </c>
      <c r="M95" s="107"/>
      <c r="N95" s="242"/>
      <c r="O95" s="243"/>
      <c r="P95" s="243"/>
      <c r="Q95" s="193"/>
      <c r="R95" s="193"/>
      <c r="S95" s="192"/>
      <c r="T95" s="193"/>
      <c r="U95" s="192"/>
      <c r="V95" s="192"/>
      <c r="W95" s="192"/>
      <c r="X95" s="192"/>
      <c r="Y95" s="192"/>
      <c r="Z95" s="192"/>
      <c r="AA95" s="192"/>
      <c r="AB95" s="192"/>
      <c r="AC95" s="192"/>
      <c r="AD95" s="192"/>
      <c r="AE95" s="192"/>
      <c r="AF95" s="192"/>
    </row>
    <row r="96" spans="1:32">
      <c r="A96" s="256" t="s">
        <v>455</v>
      </c>
      <c r="B96" s="257" t="s">
        <v>141</v>
      </c>
      <c r="C96" s="271" t="s">
        <v>404</v>
      </c>
      <c r="D96" s="265">
        <v>1</v>
      </c>
      <c r="E96" s="274">
        <v>14716.96</v>
      </c>
      <c r="F96" s="267">
        <f>D96*E96</f>
        <v>14716.96</v>
      </c>
      <c r="G96" s="112">
        <f t="shared" ref="G96" si="73">AF96</f>
        <v>1</v>
      </c>
      <c r="H96" s="240">
        <f t="shared" ref="H96" si="74">TRUNC(G96*E96,2)</f>
        <v>14716.96</v>
      </c>
      <c r="I96" s="241">
        <f t="shared" ref="I96" si="75">SUM(N96:AF96)</f>
        <v>1</v>
      </c>
      <c r="J96" s="240">
        <f t="shared" ref="J96" si="76">TRUNC(I96*E96,2)</f>
        <v>14716.96</v>
      </c>
      <c r="K96" s="241">
        <f t="shared" ref="K96" si="77">D96-I96</f>
        <v>0</v>
      </c>
      <c r="L96" s="279">
        <f t="shared" ref="L96" si="78">TRUNC(K96*E96,2)</f>
        <v>0</v>
      </c>
      <c r="M96" s="107">
        <f t="shared" ref="M96" si="79">(D96-I96)/D96</f>
        <v>0</v>
      </c>
      <c r="N96" s="242"/>
      <c r="O96" s="243"/>
      <c r="P96" s="243"/>
      <c r="Q96" s="193"/>
      <c r="R96" s="193"/>
      <c r="S96" s="192"/>
      <c r="T96" s="193"/>
      <c r="U96" s="192"/>
      <c r="V96" s="192"/>
      <c r="W96" s="192"/>
      <c r="X96" s="192"/>
      <c r="Y96" s="192"/>
      <c r="Z96" s="192"/>
      <c r="AA96" s="192"/>
      <c r="AB96" s="192"/>
      <c r="AC96" s="192"/>
      <c r="AD96" s="192"/>
      <c r="AE96" s="192"/>
      <c r="AF96" s="192">
        <v>1</v>
      </c>
    </row>
    <row r="97" spans="1:32">
      <c r="A97" s="252" t="s">
        <v>456</v>
      </c>
      <c r="B97" s="269" t="s">
        <v>457</v>
      </c>
      <c r="C97" s="272"/>
      <c r="D97" s="260"/>
      <c r="E97" s="260"/>
      <c r="F97" s="261">
        <f>F98</f>
        <v>148.41600000000003</v>
      </c>
      <c r="G97" s="277"/>
      <c r="H97" s="89">
        <f>SUM(H98)</f>
        <v>0</v>
      </c>
      <c r="I97" s="155"/>
      <c r="J97" s="89">
        <f>SUM(J98)</f>
        <v>0</v>
      </c>
      <c r="K97" s="155"/>
      <c r="L97" s="89">
        <f>SUM(L98)</f>
        <v>148.41</v>
      </c>
      <c r="M97" s="107"/>
      <c r="N97" s="242"/>
      <c r="O97" s="243"/>
      <c r="P97" s="243"/>
      <c r="Q97" s="193"/>
      <c r="R97" s="193"/>
      <c r="S97" s="192"/>
      <c r="T97" s="193"/>
      <c r="U97" s="192"/>
      <c r="V97" s="192"/>
      <c r="W97" s="192"/>
      <c r="X97" s="192"/>
      <c r="Y97" s="192"/>
      <c r="Z97" s="192"/>
      <c r="AA97" s="192"/>
      <c r="AB97" s="192"/>
      <c r="AC97" s="192"/>
      <c r="AD97" s="192"/>
      <c r="AE97" s="192"/>
      <c r="AF97" s="192"/>
    </row>
    <row r="98" spans="1:32" ht="51">
      <c r="A98" s="256" t="s">
        <v>458</v>
      </c>
      <c r="B98" s="257" t="s">
        <v>459</v>
      </c>
      <c r="C98" s="271" t="s">
        <v>100</v>
      </c>
      <c r="D98" s="265">
        <v>0.05</v>
      </c>
      <c r="E98" s="274">
        <v>2968.32</v>
      </c>
      <c r="F98" s="267">
        <f>D98*E98</f>
        <v>148.41600000000003</v>
      </c>
      <c r="G98" s="112">
        <f t="shared" ref="G98" si="80">AF98</f>
        <v>0</v>
      </c>
      <c r="H98" s="240">
        <f t="shared" ref="H98" si="81">TRUNC(G98*E98,2)</f>
        <v>0</v>
      </c>
      <c r="I98" s="241">
        <f t="shared" ref="I98" si="82">SUM(N98:AF98)</f>
        <v>0</v>
      </c>
      <c r="J98" s="240">
        <f t="shared" ref="J98" si="83">TRUNC(I98*E98,2)</f>
        <v>0</v>
      </c>
      <c r="K98" s="241">
        <f t="shared" ref="K98" si="84">D98-I98</f>
        <v>0.05</v>
      </c>
      <c r="L98" s="279">
        <f t="shared" ref="L98" si="85">TRUNC(K98*E98,2)</f>
        <v>148.41</v>
      </c>
      <c r="M98" s="107">
        <f t="shared" ref="M98" si="86">(D98-I98)/D98</f>
        <v>1</v>
      </c>
      <c r="N98" s="242"/>
      <c r="O98" s="243"/>
      <c r="P98" s="243"/>
      <c r="Q98" s="193"/>
      <c r="R98" s="193"/>
      <c r="S98" s="192"/>
      <c r="T98" s="193"/>
      <c r="U98" s="192"/>
      <c r="V98" s="192"/>
      <c r="W98" s="192"/>
      <c r="X98" s="192"/>
      <c r="Y98" s="192"/>
      <c r="Z98" s="192"/>
      <c r="AA98" s="192"/>
      <c r="AB98" s="192"/>
      <c r="AC98" s="192"/>
      <c r="AD98" s="192"/>
      <c r="AE98" s="192"/>
      <c r="AF98" s="192"/>
    </row>
    <row r="99" spans="1:32">
      <c r="A99" s="252" t="s">
        <v>460</v>
      </c>
      <c r="B99" s="269" t="s">
        <v>461</v>
      </c>
      <c r="C99" s="272"/>
      <c r="D99" s="260"/>
      <c r="E99" s="260"/>
      <c r="F99" s="261">
        <f>F100</f>
        <v>13900</v>
      </c>
      <c r="G99" s="277"/>
      <c r="H99" s="89">
        <f>SUM(H100)</f>
        <v>0</v>
      </c>
      <c r="I99" s="155"/>
      <c r="J99" s="89">
        <f>SUM(J100)</f>
        <v>0</v>
      </c>
      <c r="K99" s="155"/>
      <c r="L99" s="89">
        <f>SUM(L100)</f>
        <v>13900</v>
      </c>
      <c r="M99" s="107"/>
      <c r="N99" s="242"/>
      <c r="O99" s="243"/>
      <c r="P99" s="243"/>
      <c r="Q99" s="193"/>
      <c r="R99" s="193"/>
      <c r="S99" s="192"/>
      <c r="T99" s="193"/>
      <c r="U99" s="192"/>
      <c r="V99" s="192"/>
      <c r="W99" s="192"/>
      <c r="X99" s="192"/>
      <c r="Y99" s="192"/>
      <c r="Z99" s="192"/>
      <c r="AA99" s="192"/>
      <c r="AB99" s="192"/>
      <c r="AC99" s="192"/>
      <c r="AD99" s="192"/>
      <c r="AE99" s="192"/>
      <c r="AF99" s="192"/>
    </row>
    <row r="100" spans="1:32" ht="25.5">
      <c r="A100" s="256" t="s">
        <v>462</v>
      </c>
      <c r="B100" s="257" t="s">
        <v>463</v>
      </c>
      <c r="C100" s="271" t="s">
        <v>404</v>
      </c>
      <c r="D100" s="265">
        <v>1</v>
      </c>
      <c r="E100" s="274">
        <v>13900</v>
      </c>
      <c r="F100" s="267">
        <f>D100*E100</f>
        <v>13900</v>
      </c>
      <c r="G100" s="112">
        <f t="shared" ref="G100" si="87">AF100</f>
        <v>0</v>
      </c>
      <c r="H100" s="240">
        <f t="shared" ref="H100" si="88">TRUNC(G100*E100,2)</f>
        <v>0</v>
      </c>
      <c r="I100" s="241">
        <f t="shared" ref="I100" si="89">SUM(N100:AF100)</f>
        <v>0</v>
      </c>
      <c r="J100" s="240">
        <f t="shared" ref="J100" si="90">TRUNC(I100*E100,2)</f>
        <v>0</v>
      </c>
      <c r="K100" s="241">
        <f t="shared" ref="K100" si="91">D100-I100</f>
        <v>1</v>
      </c>
      <c r="L100" s="279">
        <f t="shared" ref="L100" si="92">TRUNC(K100*E100,2)</f>
        <v>13900</v>
      </c>
      <c r="M100" s="107">
        <f t="shared" ref="M100" si="93">(D100-I100)/D100</f>
        <v>1</v>
      </c>
      <c r="N100" s="242"/>
      <c r="O100" s="243"/>
      <c r="P100" s="243"/>
      <c r="Q100" s="193"/>
      <c r="R100" s="193"/>
      <c r="S100" s="192"/>
      <c r="T100" s="193"/>
      <c r="U100" s="192"/>
      <c r="V100" s="192"/>
      <c r="W100" s="192"/>
      <c r="X100" s="192"/>
      <c r="Y100" s="192"/>
      <c r="Z100" s="192"/>
      <c r="AA100" s="192"/>
      <c r="AB100" s="192"/>
      <c r="AC100" s="192"/>
      <c r="AD100" s="192"/>
      <c r="AE100" s="192"/>
      <c r="AF100" s="192"/>
    </row>
    <row r="101" spans="1:32">
      <c r="A101" s="252" t="s">
        <v>464</v>
      </c>
      <c r="B101" s="269" t="s">
        <v>465</v>
      </c>
      <c r="C101" s="272"/>
      <c r="D101" s="260"/>
      <c r="E101" s="260"/>
      <c r="F101" s="261">
        <f>F102</f>
        <v>862.4</v>
      </c>
      <c r="G101" s="277"/>
      <c r="H101" s="89">
        <f>SUM(H102)</f>
        <v>0</v>
      </c>
      <c r="I101" s="155"/>
      <c r="J101" s="89">
        <f>SUM(J102)</f>
        <v>0</v>
      </c>
      <c r="K101" s="155"/>
      <c r="L101" s="89">
        <f>SUM(L102)</f>
        <v>862.4</v>
      </c>
      <c r="M101" s="107"/>
      <c r="N101" s="242"/>
      <c r="O101" s="243"/>
      <c r="P101" s="243"/>
      <c r="Q101" s="193"/>
      <c r="R101" s="193"/>
      <c r="S101" s="192"/>
      <c r="T101" s="193"/>
      <c r="U101" s="192"/>
      <c r="V101" s="192"/>
      <c r="W101" s="192"/>
      <c r="X101" s="192"/>
      <c r="Y101" s="192"/>
      <c r="Z101" s="192"/>
      <c r="AA101" s="192"/>
      <c r="AB101" s="192"/>
      <c r="AC101" s="192"/>
      <c r="AD101" s="192"/>
      <c r="AE101" s="192"/>
      <c r="AF101" s="192"/>
    </row>
    <row r="102" spans="1:32" ht="38.25">
      <c r="A102" s="256" t="s">
        <v>466</v>
      </c>
      <c r="B102" s="257" t="s">
        <v>467</v>
      </c>
      <c r="C102" s="259" t="s">
        <v>99</v>
      </c>
      <c r="D102" s="265">
        <v>10</v>
      </c>
      <c r="E102" s="274">
        <v>86.24</v>
      </c>
      <c r="F102" s="267">
        <f>D102*E102</f>
        <v>862.4</v>
      </c>
      <c r="G102" s="112">
        <f t="shared" ref="G102" si="94">AF102</f>
        <v>0</v>
      </c>
      <c r="H102" s="240">
        <f t="shared" ref="H102" si="95">TRUNC(G102*E102,2)</f>
        <v>0</v>
      </c>
      <c r="I102" s="241">
        <f t="shared" ref="I102" si="96">SUM(N102:AF102)</f>
        <v>0</v>
      </c>
      <c r="J102" s="240">
        <f t="shared" ref="J102" si="97">TRUNC(I102*E102,2)</f>
        <v>0</v>
      </c>
      <c r="K102" s="241">
        <f t="shared" ref="K102" si="98">D102-I102</f>
        <v>10</v>
      </c>
      <c r="L102" s="279">
        <f t="shared" ref="L102" si="99">TRUNC(K102*E102,2)</f>
        <v>862.4</v>
      </c>
      <c r="M102" s="107">
        <f t="shared" ref="M102" si="100">(D102-I102)/D102</f>
        <v>1</v>
      </c>
      <c r="N102" s="242"/>
      <c r="O102" s="243"/>
      <c r="P102" s="243"/>
      <c r="Q102" s="193"/>
      <c r="R102" s="193"/>
      <c r="S102" s="192"/>
      <c r="T102" s="193"/>
      <c r="U102" s="192"/>
      <c r="V102" s="192"/>
      <c r="W102" s="192"/>
      <c r="X102" s="192"/>
      <c r="Y102" s="192"/>
      <c r="Z102" s="192"/>
      <c r="AA102" s="192"/>
      <c r="AB102" s="192"/>
      <c r="AC102" s="192"/>
      <c r="AD102" s="192"/>
      <c r="AE102" s="192"/>
      <c r="AF102" s="192"/>
    </row>
    <row r="103" spans="1:32">
      <c r="A103" s="307" t="s">
        <v>105</v>
      </c>
      <c r="B103" s="307"/>
      <c r="C103" s="307"/>
      <c r="D103" s="307"/>
      <c r="E103" s="307"/>
      <c r="F103" s="244">
        <f>SUM(F46,F39,F27,F11,F56)</f>
        <v>1706775.9771000003</v>
      </c>
      <c r="G103" s="245"/>
      <c r="H103" s="244">
        <f>TRUNC(SUM(H46,H39,H27,H11,H56),2)</f>
        <v>60171.99</v>
      </c>
      <c r="I103" s="244"/>
      <c r="J103" s="244">
        <f>SUM(J46,J39,J27,J11,J56)</f>
        <v>1543569.14</v>
      </c>
      <c r="K103" s="241"/>
      <c r="L103" s="244">
        <f>SUM(L46,L39,L27,L11,L56)</f>
        <v>163206.68</v>
      </c>
      <c r="M103" s="145">
        <f>(F103-J103)/F103</f>
        <v>9.5622881555496628E-2</v>
      </c>
      <c r="N103" s="242"/>
      <c r="O103" s="243"/>
      <c r="P103" s="243"/>
      <c r="Q103" s="193"/>
      <c r="R103" s="193"/>
      <c r="S103" s="192"/>
      <c r="T103" s="193"/>
      <c r="U103" s="192"/>
      <c r="V103" s="192"/>
      <c r="W103" s="192"/>
      <c r="X103" s="192"/>
      <c r="Y103" s="192"/>
      <c r="Z103" s="192"/>
      <c r="AA103" s="192"/>
      <c r="AB103" s="192"/>
      <c r="AC103" s="192"/>
      <c r="AD103" s="192"/>
      <c r="AE103" s="192"/>
      <c r="AF103" s="192"/>
    </row>
    <row r="104" spans="1:32">
      <c r="A104" s="307" t="s">
        <v>106</v>
      </c>
      <c r="B104" s="307"/>
      <c r="C104" s="307"/>
      <c r="D104" s="307"/>
      <c r="E104" s="307"/>
      <c r="F104" s="244">
        <f>TRUNC(F103*0.2502,2)</f>
        <v>427035.34</v>
      </c>
      <c r="G104" s="245"/>
      <c r="H104" s="244">
        <f>TRUNC(H103*0.2502,2)</f>
        <v>15055.03</v>
      </c>
      <c r="I104" s="244"/>
      <c r="J104" s="244">
        <f>TRUNC(J103*0.2502,2)</f>
        <v>386200.99</v>
      </c>
      <c r="K104" s="241"/>
      <c r="L104" s="244">
        <f>TRUNC(L103*0.2502,2)</f>
        <v>40834.31</v>
      </c>
      <c r="M104" s="145">
        <f t="shared" ref="M104:M106" si="101">(F104-J104)/F104</f>
        <v>9.5622882171765997E-2</v>
      </c>
      <c r="N104" s="242"/>
      <c r="O104" s="243"/>
      <c r="P104" s="243"/>
      <c r="Q104" s="193"/>
      <c r="R104" s="193"/>
      <c r="S104" s="192"/>
      <c r="T104" s="193"/>
      <c r="U104" s="192"/>
      <c r="V104" s="192"/>
      <c r="W104" s="192"/>
      <c r="X104" s="192"/>
      <c r="Y104" s="192"/>
      <c r="Z104" s="192"/>
      <c r="AA104" s="192"/>
      <c r="AB104" s="192"/>
      <c r="AC104" s="192"/>
      <c r="AD104" s="192"/>
      <c r="AE104" s="192"/>
      <c r="AF104" s="192"/>
    </row>
    <row r="105" spans="1:32">
      <c r="A105" s="250"/>
      <c r="B105" s="299" t="s">
        <v>370</v>
      </c>
      <c r="C105" s="300"/>
      <c r="D105" s="300"/>
      <c r="E105" s="251">
        <v>0.10630000000000001</v>
      </c>
      <c r="F105" s="244"/>
      <c r="G105" s="245"/>
      <c r="H105" s="244">
        <f>E105*(H104+H103)</f>
        <v>7996.6322260000006</v>
      </c>
      <c r="I105" s="244"/>
      <c r="J105" s="244"/>
      <c r="K105" s="241"/>
      <c r="L105" s="244"/>
      <c r="M105" s="145"/>
      <c r="N105" s="242"/>
      <c r="O105" s="243"/>
      <c r="P105" s="243"/>
      <c r="Q105" s="193"/>
      <c r="R105" s="193"/>
      <c r="S105" s="192"/>
      <c r="T105" s="193"/>
      <c r="U105" s="192"/>
      <c r="V105" s="192"/>
      <c r="W105" s="192"/>
      <c r="X105" s="192"/>
      <c r="Y105" s="192"/>
      <c r="Z105" s="192"/>
      <c r="AA105" s="192"/>
      <c r="AB105" s="192"/>
      <c r="AC105" s="192"/>
      <c r="AD105" s="192"/>
      <c r="AE105" s="192"/>
      <c r="AF105" s="192"/>
    </row>
    <row r="106" spans="1:32">
      <c r="A106" s="307" t="s">
        <v>107</v>
      </c>
      <c r="B106" s="307"/>
      <c r="C106" s="307"/>
      <c r="D106" s="307"/>
      <c r="E106" s="307"/>
      <c r="F106" s="244">
        <f>SUM(F103:F104)</f>
        <v>2133811.3171000001</v>
      </c>
      <c r="G106" s="245"/>
      <c r="H106" s="244">
        <f>H103+H104+H105</f>
        <v>83223.652226000006</v>
      </c>
      <c r="I106" s="244"/>
      <c r="J106" s="246">
        <f>TRUNC(SUM(J103:J104),2)</f>
        <v>1929770.13</v>
      </c>
      <c r="K106" s="241"/>
      <c r="L106" s="244">
        <f>TRUNC(SUM(L103:L104),2)+0.01</f>
        <v>204041</v>
      </c>
      <c r="M106" s="145">
        <f t="shared" si="101"/>
        <v>9.5622881678829305E-2</v>
      </c>
      <c r="N106" s="242"/>
      <c r="O106" s="243"/>
      <c r="P106" s="243"/>
      <c r="Q106" s="193"/>
      <c r="R106" s="193"/>
      <c r="S106" s="192"/>
      <c r="T106" s="193"/>
      <c r="U106" s="192"/>
      <c r="V106" s="192"/>
      <c r="W106" s="192"/>
      <c r="X106" s="192"/>
      <c r="Y106" s="192"/>
      <c r="Z106" s="192"/>
      <c r="AA106" s="192"/>
      <c r="AB106" s="192"/>
      <c r="AC106" s="192"/>
      <c r="AD106" s="192"/>
      <c r="AE106" s="192"/>
      <c r="AF106" s="192"/>
    </row>
    <row r="107" spans="1:32" ht="134.25" customHeight="1">
      <c r="A107" s="301" t="s">
        <v>295</v>
      </c>
      <c r="B107" s="302"/>
      <c r="C107" s="302" t="s">
        <v>144</v>
      </c>
      <c r="D107" s="302"/>
      <c r="E107" s="302"/>
      <c r="F107" s="302"/>
      <c r="G107" s="302" t="s">
        <v>145</v>
      </c>
      <c r="H107" s="302"/>
      <c r="I107" s="302"/>
      <c r="J107" s="302" t="s">
        <v>192</v>
      </c>
      <c r="K107" s="302"/>
      <c r="L107" s="302"/>
      <c r="M107" s="308"/>
      <c r="N107" s="4"/>
      <c r="O107" s="289"/>
      <c r="P107" s="290"/>
      <c r="U107" s="284"/>
      <c r="V107" s="285"/>
      <c r="Z107" s="20"/>
      <c r="AA107" s="247"/>
    </row>
    <row r="109" spans="1:32">
      <c r="L109" s="235">
        <f>F106-J106-L106</f>
        <v>0.18710000021383166</v>
      </c>
    </row>
  </sheetData>
  <mergeCells count="43">
    <mergeCell ref="B105:D105"/>
    <mergeCell ref="A107:B107"/>
    <mergeCell ref="I8:J9"/>
    <mergeCell ref="A103:E103"/>
    <mergeCell ref="A104:E104"/>
    <mergeCell ref="A106:E106"/>
    <mergeCell ref="C107:F107"/>
    <mergeCell ref="G107:I107"/>
    <mergeCell ref="J107:M107"/>
    <mergeCell ref="G8:H9"/>
    <mergeCell ref="D8:D10"/>
    <mergeCell ref="F8:F10"/>
    <mergeCell ref="E8:E10"/>
    <mergeCell ref="K8:M9"/>
    <mergeCell ref="C8:C10"/>
    <mergeCell ref="B8:B10"/>
    <mergeCell ref="A8:A10"/>
    <mergeCell ref="B2:M2"/>
    <mergeCell ref="B3:M3"/>
    <mergeCell ref="B4:M4"/>
    <mergeCell ref="B5:M5"/>
    <mergeCell ref="A6:M7"/>
    <mergeCell ref="S10:S11"/>
    <mergeCell ref="T10:T11"/>
    <mergeCell ref="U10:U11"/>
    <mergeCell ref="V10:V11"/>
    <mergeCell ref="AA10:AA11"/>
    <mergeCell ref="Z10:Z11"/>
    <mergeCell ref="Y10:Y11"/>
    <mergeCell ref="X10:X11"/>
    <mergeCell ref="W10:W11"/>
    <mergeCell ref="N10:N11"/>
    <mergeCell ref="Q10:Q11"/>
    <mergeCell ref="R10:R11"/>
    <mergeCell ref="O107:P107"/>
    <mergeCell ref="O10:O11"/>
    <mergeCell ref="P10:P11"/>
    <mergeCell ref="AF10:AF11"/>
    <mergeCell ref="AD10:AD11"/>
    <mergeCell ref="AB10:AB11"/>
    <mergeCell ref="AC10:AC11"/>
    <mergeCell ref="U107:V107"/>
    <mergeCell ref="AE10:AE11"/>
  </mergeCells>
  <phoneticPr fontId="54" type="noConversion"/>
  <pageMargins left="0.51181102362204722" right="0.51181102362204722" top="0.78740157480314965" bottom="0.78740157480314965" header="0.31496062992125984" footer="0.31496062992125984"/>
  <pageSetup paperSize="9" scale="59" fitToHeight="0" orientation="landscape" r:id="rId1"/>
  <headerFooter>
    <oddFooter>&amp;C&amp;P / &amp;N</oddFoot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F28" sqref="F2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10.140625" bestFit="1" customWidth="1"/>
    <col min="7" max="7" width="10.42578125" customWidth="1"/>
    <col min="8" max="8" width="9" bestFit="1" customWidth="1"/>
  </cols>
  <sheetData>
    <row r="1" spans="1:8" ht="20.25">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c r="A5" s="34"/>
      <c r="B5" s="35"/>
      <c r="C5" s="36"/>
      <c r="D5" s="36"/>
      <c r="E5" s="26"/>
      <c r="F5" s="36"/>
      <c r="G5" s="36"/>
      <c r="H5" s="37"/>
    </row>
    <row r="6" spans="1:8">
      <c r="A6" s="59">
        <v>1</v>
      </c>
      <c r="B6" s="342" t="s">
        <v>123</v>
      </c>
      <c r="C6" s="342"/>
      <c r="D6" s="342"/>
      <c r="E6" s="342"/>
      <c r="F6" s="342"/>
      <c r="G6" s="342"/>
      <c r="H6" s="343"/>
    </row>
    <row r="7" spans="1:8" ht="49.5" customHeight="1">
      <c r="A7" s="60">
        <v>111</v>
      </c>
      <c r="B7" s="367" t="s">
        <v>66</v>
      </c>
      <c r="C7" s="367"/>
      <c r="D7" s="367"/>
      <c r="E7" s="367"/>
      <c r="F7" s="367"/>
      <c r="G7" s="367"/>
      <c r="H7" s="368"/>
    </row>
    <row r="8" spans="1:8" ht="15.75" customHeight="1">
      <c r="A8" s="61"/>
      <c r="B8" s="330"/>
      <c r="C8" s="331"/>
      <c r="D8" s="331"/>
      <c r="E8" s="331"/>
      <c r="F8" s="331"/>
      <c r="G8" s="62" t="s">
        <v>124</v>
      </c>
      <c r="H8" s="82" t="s">
        <v>8</v>
      </c>
    </row>
    <row r="9" spans="1:8">
      <c r="A9" s="38"/>
      <c r="B9" s="27"/>
      <c r="C9" s="316"/>
      <c r="D9" s="316"/>
      <c r="E9" s="316"/>
      <c r="F9" s="39"/>
      <c r="G9" s="53"/>
      <c r="H9" s="40"/>
    </row>
    <row r="10" spans="1:8" ht="15.75">
      <c r="A10" s="369" t="s">
        <v>113</v>
      </c>
      <c r="B10" s="370"/>
      <c r="C10" s="340" t="s">
        <v>154</v>
      </c>
      <c r="D10" s="340"/>
      <c r="E10" s="53"/>
      <c r="F10" s="39"/>
      <c r="G10" s="53"/>
      <c r="H10" s="40"/>
    </row>
    <row r="11" spans="1:8" ht="15.75">
      <c r="A11" s="38"/>
      <c r="B11" s="65" t="s">
        <v>114</v>
      </c>
      <c r="C11" s="65"/>
      <c r="D11" s="65"/>
      <c r="E11" s="66"/>
      <c r="F11" s="66"/>
      <c r="G11" s="66" t="s">
        <v>9</v>
      </c>
      <c r="H11" s="40"/>
    </row>
    <row r="12" spans="1:8">
      <c r="A12" s="64"/>
      <c r="B12" s="67" t="s">
        <v>197</v>
      </c>
      <c r="C12" s="68"/>
      <c r="D12" s="67"/>
      <c r="E12" s="69"/>
      <c r="F12" s="70"/>
      <c r="G12" s="70">
        <v>2</v>
      </c>
      <c r="H12" s="40"/>
    </row>
    <row r="13" spans="1:8" ht="15.75">
      <c r="A13" s="38"/>
      <c r="B13" s="79" t="s">
        <v>9</v>
      </c>
      <c r="C13" s="80"/>
      <c r="D13" s="80"/>
      <c r="E13" s="80"/>
      <c r="F13" s="80"/>
      <c r="G13" s="81">
        <f>SUM(G12:G12)</f>
        <v>2</v>
      </c>
      <c r="H13" s="40"/>
    </row>
    <row r="14" spans="1:8">
      <c r="A14" s="38"/>
      <c r="B14" s="35"/>
      <c r="C14" s="35"/>
      <c r="D14" s="35"/>
      <c r="E14" s="35"/>
      <c r="F14" s="35"/>
      <c r="G14" s="35"/>
      <c r="H14" s="40"/>
    </row>
    <row r="15" spans="1:8" ht="15.75">
      <c r="A15" s="42"/>
      <c r="B15" s="71" t="s">
        <v>117</v>
      </c>
      <c r="C15" s="72">
        <v>18</v>
      </c>
      <c r="D15" s="35"/>
      <c r="E15" s="35"/>
      <c r="F15" s="206">
        <v>44501</v>
      </c>
      <c r="G15" s="158">
        <v>1</v>
      </c>
      <c r="H15" s="43"/>
    </row>
    <row r="16" spans="1:8" ht="15.75">
      <c r="A16" s="44"/>
      <c r="B16" s="71" t="s">
        <v>118</v>
      </c>
      <c r="C16" s="72">
        <v>14</v>
      </c>
      <c r="D16" s="35"/>
      <c r="E16" s="35"/>
      <c r="F16" s="206">
        <v>44531</v>
      </c>
      <c r="G16" s="158">
        <v>1</v>
      </c>
      <c r="H16" s="43"/>
    </row>
    <row r="17" spans="1:10" ht="15.75">
      <c r="A17" s="44"/>
      <c r="B17" s="71" t="s">
        <v>119</v>
      </c>
      <c r="C17" s="72">
        <f>C15-C16</f>
        <v>4</v>
      </c>
      <c r="D17" s="35"/>
      <c r="E17" s="35"/>
      <c r="F17" s="206">
        <v>44562</v>
      </c>
      <c r="G17" s="158">
        <v>1</v>
      </c>
      <c r="H17" s="43"/>
    </row>
    <row r="18" spans="1:10" ht="15.75">
      <c r="A18" s="55"/>
      <c r="B18" s="71" t="s">
        <v>120</v>
      </c>
      <c r="C18" s="72"/>
      <c r="D18" s="35"/>
      <c r="E18" s="35"/>
      <c r="F18" s="206">
        <v>44593</v>
      </c>
      <c r="G18" s="158">
        <v>1</v>
      </c>
      <c r="H18" s="43"/>
    </row>
    <row r="19" spans="1:10" ht="15.75">
      <c r="A19" s="55"/>
      <c r="B19" s="71" t="s">
        <v>121</v>
      </c>
      <c r="C19" s="72">
        <f>G12</f>
        <v>2</v>
      </c>
      <c r="D19" s="35"/>
      <c r="E19" s="35"/>
      <c r="F19" s="207">
        <v>44621</v>
      </c>
      <c r="G19" s="158">
        <v>1</v>
      </c>
      <c r="H19" s="43"/>
    </row>
    <row r="20" spans="1:10" ht="15.75">
      <c r="A20" s="55"/>
      <c r="B20" s="45"/>
      <c r="F20" s="206">
        <v>44652</v>
      </c>
      <c r="G20" s="158">
        <v>1</v>
      </c>
      <c r="H20" s="43"/>
    </row>
    <row r="21" spans="1:10">
      <c r="A21" s="55"/>
      <c r="F21" s="206">
        <v>44682</v>
      </c>
      <c r="G21" s="158">
        <v>1</v>
      </c>
      <c r="H21" s="43"/>
    </row>
    <row r="22" spans="1:10">
      <c r="A22" s="55"/>
      <c r="F22" s="206">
        <v>44714</v>
      </c>
      <c r="G22" s="158">
        <v>1</v>
      </c>
      <c r="H22" s="43"/>
    </row>
    <row r="23" spans="1:10">
      <c r="A23" s="55"/>
      <c r="F23" s="206">
        <v>44744</v>
      </c>
      <c r="G23" s="158">
        <v>1</v>
      </c>
      <c r="H23" s="43"/>
    </row>
    <row r="24" spans="1:10">
      <c r="A24" s="55"/>
      <c r="F24" s="206">
        <v>44774</v>
      </c>
      <c r="G24" s="158">
        <v>1</v>
      </c>
      <c r="H24" s="43"/>
      <c r="J24" t="s">
        <v>299</v>
      </c>
    </row>
    <row r="25" spans="1:10" ht="15.75">
      <c r="A25" s="38"/>
      <c r="B25" s="45"/>
      <c r="C25" s="35"/>
      <c r="D25" s="35"/>
      <c r="E25" s="35"/>
      <c r="F25" s="206">
        <v>44805</v>
      </c>
      <c r="G25" s="158">
        <v>1</v>
      </c>
      <c r="H25" s="43"/>
    </row>
    <row r="26" spans="1:10" ht="15.75">
      <c r="A26" s="38"/>
      <c r="B26" s="45"/>
      <c r="C26" s="35"/>
      <c r="D26" s="35"/>
      <c r="E26" s="35"/>
      <c r="F26" s="206">
        <v>44835</v>
      </c>
      <c r="G26" s="158">
        <v>1</v>
      </c>
      <c r="H26" s="43"/>
    </row>
    <row r="27" spans="1:10" ht="15.75">
      <c r="A27" s="38"/>
      <c r="B27" s="45"/>
      <c r="C27" s="35"/>
      <c r="D27" s="35"/>
      <c r="E27" s="35"/>
      <c r="F27" s="206">
        <v>44866</v>
      </c>
      <c r="G27" s="158"/>
      <c r="H27" s="43"/>
    </row>
    <row r="28" spans="1:10" ht="15.75">
      <c r="A28" s="38"/>
      <c r="B28" s="45"/>
      <c r="C28" s="35"/>
      <c r="D28" s="35"/>
      <c r="E28" s="35"/>
      <c r="F28" s="206">
        <v>44896</v>
      </c>
      <c r="G28" s="158">
        <v>2</v>
      </c>
      <c r="H28" s="43" t="s">
        <v>341</v>
      </c>
    </row>
    <row r="29" spans="1:10" ht="15.75">
      <c r="A29" s="38"/>
      <c r="B29" s="45"/>
      <c r="C29" s="35"/>
      <c r="D29" s="35"/>
      <c r="E29" s="35"/>
      <c r="F29" s="35"/>
      <c r="G29" s="35"/>
      <c r="H29" s="43"/>
    </row>
    <row r="30" spans="1:10" ht="15.75">
      <c r="A30" s="38"/>
      <c r="B30" s="45"/>
      <c r="C30" s="35"/>
      <c r="D30" s="35"/>
      <c r="E30" s="35"/>
      <c r="F30" t="s">
        <v>342</v>
      </c>
      <c r="G30" s="35"/>
      <c r="H30" s="43"/>
    </row>
    <row r="31" spans="1:10" ht="15.75">
      <c r="A31" s="38"/>
      <c r="B31" s="45"/>
      <c r="C31" s="35"/>
      <c r="D31" s="35"/>
      <c r="E31" s="35"/>
      <c r="F31" s="371" t="s">
        <v>351</v>
      </c>
      <c r="G31" s="371"/>
      <c r="H31" s="372"/>
    </row>
    <row r="32" spans="1:10" ht="15.75">
      <c r="A32" s="38"/>
      <c r="B32" s="45"/>
      <c r="C32" s="35"/>
      <c r="D32" s="35"/>
      <c r="E32" s="35"/>
      <c r="F32" s="371"/>
      <c r="G32" s="371"/>
      <c r="H32" s="372"/>
    </row>
    <row r="33" spans="1:8" ht="15.75">
      <c r="A33" s="38"/>
      <c r="B33" s="45"/>
      <c r="C33" s="35"/>
      <c r="D33" s="35"/>
      <c r="E33" s="35"/>
      <c r="F33" s="371"/>
      <c r="G33" s="371"/>
      <c r="H33" s="372"/>
    </row>
    <row r="34" spans="1:8" ht="15.75">
      <c r="A34" s="38"/>
      <c r="B34" s="45"/>
      <c r="C34" s="35"/>
      <c r="D34" s="35"/>
      <c r="E34" s="35"/>
      <c r="F34" s="371"/>
      <c r="G34" s="371"/>
      <c r="H34" s="372"/>
    </row>
    <row r="35" spans="1:8">
      <c r="A35" s="38"/>
      <c r="C35" s="35"/>
      <c r="D35" s="35"/>
      <c r="E35" s="35"/>
      <c r="F35" s="371"/>
      <c r="G35" s="371"/>
      <c r="H35" s="372"/>
    </row>
    <row r="36" spans="1:8" ht="60" customHeight="1">
      <c r="A36" s="38"/>
      <c r="B36" s="45"/>
      <c r="C36" s="35"/>
      <c r="D36" s="237"/>
      <c r="E36" s="237"/>
      <c r="F36" s="371"/>
      <c r="G36" s="371"/>
      <c r="H36" s="372"/>
    </row>
    <row r="37" spans="1:8" ht="15.75">
      <c r="A37" s="38"/>
      <c r="B37" s="45"/>
      <c r="C37" s="35"/>
      <c r="D37" s="35"/>
      <c r="E37" s="35"/>
      <c r="F37" s="371"/>
      <c r="G37" s="371"/>
      <c r="H37" s="372"/>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313" t="s">
        <v>196</v>
      </c>
      <c r="B52" s="314"/>
      <c r="C52" s="314"/>
      <c r="D52" s="314"/>
      <c r="E52" s="314"/>
      <c r="F52" s="314"/>
      <c r="G52" s="314"/>
      <c r="H52" s="315"/>
    </row>
    <row r="53" spans="1:8" ht="15.75">
      <c r="A53" s="48"/>
      <c r="B53" s="33"/>
      <c r="C53" s="49"/>
      <c r="D53" s="49"/>
      <c r="E53" s="49"/>
      <c r="F53" s="50"/>
      <c r="G53" s="51"/>
      <c r="H53" s="52"/>
    </row>
    <row r="54" spans="1:8">
      <c r="A54" s="27"/>
      <c r="B54" s="29"/>
      <c r="C54" s="30"/>
      <c r="D54" s="31"/>
      <c r="E54" s="32"/>
      <c r="F54" s="30"/>
      <c r="G54" s="30"/>
      <c r="H54" s="30"/>
    </row>
  </sheetData>
  <mergeCells count="11">
    <mergeCell ref="C9:E9"/>
    <mergeCell ref="C10:D10"/>
    <mergeCell ref="A52:H52"/>
    <mergeCell ref="A2:H2"/>
    <mergeCell ref="A3:H3"/>
    <mergeCell ref="A4:H4"/>
    <mergeCell ref="B6:H6"/>
    <mergeCell ref="B7:H7"/>
    <mergeCell ref="B8:F8"/>
    <mergeCell ref="A10:B10"/>
    <mergeCell ref="F31:H37"/>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B6" sqref="B6:H6"/>
    </sheetView>
  </sheetViews>
  <sheetFormatPr defaultRowHeight="15"/>
  <cols>
    <col min="1" max="1" width="12.28515625" customWidth="1"/>
    <col min="2" max="2" width="29.140625" customWidth="1"/>
    <col min="3" max="3" width="13.5703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c r="A5" s="34"/>
      <c r="B5" s="35"/>
      <c r="C5" s="36"/>
      <c r="D5" s="36"/>
      <c r="E5" s="26"/>
      <c r="F5" s="36"/>
      <c r="G5" s="36"/>
      <c r="H5" s="37"/>
    </row>
    <row r="6" spans="1:8" ht="48" customHeight="1">
      <c r="A6" s="60">
        <v>112</v>
      </c>
      <c r="B6" s="373" t="s">
        <v>67</v>
      </c>
      <c r="C6" s="373"/>
      <c r="D6" s="373"/>
      <c r="E6" s="373"/>
      <c r="F6" s="373"/>
      <c r="G6" s="373"/>
      <c r="H6" s="374"/>
    </row>
    <row r="7" spans="1:8" ht="15.75" customHeight="1">
      <c r="A7" s="61"/>
      <c r="B7" s="330"/>
      <c r="C7" s="331"/>
      <c r="D7" s="331"/>
      <c r="E7" s="331"/>
      <c r="F7" s="331"/>
      <c r="G7" s="62" t="s">
        <v>124</v>
      </c>
      <c r="H7" s="82" t="s">
        <v>138</v>
      </c>
    </row>
    <row r="8" spans="1:8">
      <c r="A8" s="38"/>
      <c r="B8" s="27"/>
      <c r="C8" s="316"/>
      <c r="D8" s="316"/>
      <c r="E8" s="316"/>
      <c r="F8" s="39"/>
      <c r="G8" s="53"/>
      <c r="H8" s="40"/>
    </row>
    <row r="9" spans="1:8" ht="15.75">
      <c r="A9" s="41" t="s">
        <v>113</v>
      </c>
      <c r="B9" s="27"/>
      <c r="C9" s="340" t="s">
        <v>155</v>
      </c>
      <c r="D9" s="340"/>
      <c r="E9" s="53"/>
      <c r="F9" s="39"/>
      <c r="G9" s="53"/>
      <c r="H9" s="40"/>
    </row>
    <row r="10" spans="1:8" ht="15.75">
      <c r="A10" s="38"/>
      <c r="B10" s="65" t="s">
        <v>114</v>
      </c>
      <c r="C10" s="65"/>
      <c r="D10" s="65" t="s">
        <v>139</v>
      </c>
      <c r="E10" s="66" t="s">
        <v>44</v>
      </c>
      <c r="F10" s="66"/>
      <c r="G10" s="66" t="s">
        <v>9</v>
      </c>
      <c r="H10" s="40"/>
    </row>
    <row r="11" spans="1:8">
      <c r="A11" s="64"/>
      <c r="B11" s="67" t="s">
        <v>136</v>
      </c>
      <c r="C11" s="68"/>
      <c r="D11" s="133"/>
      <c r="E11" s="69"/>
      <c r="F11" s="70"/>
      <c r="G11" s="70"/>
      <c r="H11" s="40"/>
    </row>
    <row r="12" spans="1:8" ht="15.75">
      <c r="A12" s="38"/>
      <c r="B12" s="79" t="s">
        <v>9</v>
      </c>
      <c r="C12" s="80"/>
      <c r="D12" s="80"/>
      <c r="E12" s="80"/>
      <c r="F12" s="80"/>
      <c r="G12" s="81">
        <f>SUM(G11:G11)</f>
        <v>0</v>
      </c>
      <c r="H12" s="40"/>
    </row>
    <row r="13" spans="1:8">
      <c r="A13" s="38"/>
      <c r="B13" s="35"/>
      <c r="C13" s="35"/>
      <c r="D13" s="35"/>
      <c r="E13" s="35"/>
      <c r="F13" s="35"/>
      <c r="G13" s="35"/>
      <c r="H13" s="40"/>
    </row>
    <row r="14" spans="1:8" ht="15.75">
      <c r="A14" s="42"/>
      <c r="B14" s="71" t="s">
        <v>117</v>
      </c>
      <c r="C14" s="72">
        <v>18</v>
      </c>
      <c r="D14" s="35"/>
      <c r="E14" s="35"/>
      <c r="F14" s="35"/>
      <c r="G14" s="35"/>
      <c r="H14" s="43"/>
    </row>
    <row r="15" spans="1:8" ht="15.75">
      <c r="A15" s="44"/>
      <c r="B15" s="71" t="s">
        <v>118</v>
      </c>
      <c r="C15" s="72">
        <v>18</v>
      </c>
      <c r="D15" s="35"/>
      <c r="E15" s="85"/>
      <c r="F15" s="35"/>
      <c r="G15" s="35"/>
      <c r="H15" s="43"/>
    </row>
    <row r="16" spans="1:8" ht="15.75">
      <c r="A16" s="44"/>
      <c r="B16" s="71" t="s">
        <v>119</v>
      </c>
      <c r="C16" s="72">
        <f>C14-C15</f>
        <v>0</v>
      </c>
      <c r="D16" s="35"/>
      <c r="E16" s="85"/>
      <c r="F16" s="35"/>
      <c r="G16" s="35"/>
      <c r="H16" s="43"/>
    </row>
    <row r="17" spans="1:10" ht="15.75">
      <c r="A17" s="55"/>
      <c r="B17" s="71" t="s">
        <v>120</v>
      </c>
      <c r="C17" s="72"/>
      <c r="D17" s="35"/>
      <c r="E17" s="85"/>
      <c r="F17" s="35"/>
      <c r="G17" s="35"/>
      <c r="H17" s="43"/>
    </row>
    <row r="18" spans="1:10" ht="15.75">
      <c r="A18" s="55"/>
      <c r="B18" s="71" t="s">
        <v>121</v>
      </c>
      <c r="C18" s="72">
        <f>G12</f>
        <v>0</v>
      </c>
      <c r="D18" s="35"/>
      <c r="E18" s="85"/>
      <c r="F18" s="35"/>
      <c r="G18" s="35"/>
      <c r="H18" s="43"/>
    </row>
    <row r="19" spans="1:10">
      <c r="A19" s="55"/>
      <c r="H19" s="43"/>
    </row>
    <row r="20" spans="1:10">
      <c r="A20" s="55"/>
      <c r="B20" s="185" t="s">
        <v>234</v>
      </c>
      <c r="C20" s="139" t="s">
        <v>236</v>
      </c>
      <c r="D20" s="139" t="s">
        <v>235</v>
      </c>
      <c r="E20" s="162" t="s">
        <v>228</v>
      </c>
      <c r="F20" s="139" t="s">
        <v>229</v>
      </c>
      <c r="H20" s="43"/>
    </row>
    <row r="21" spans="1:10">
      <c r="A21" s="55"/>
      <c r="B21" s="185" t="s">
        <v>227</v>
      </c>
      <c r="C21" s="160" t="s">
        <v>273</v>
      </c>
      <c r="D21" s="141">
        <v>8</v>
      </c>
      <c r="E21" s="141">
        <v>3</v>
      </c>
      <c r="F21" s="141">
        <f>E21*D21</f>
        <v>24</v>
      </c>
      <c r="H21" s="43"/>
    </row>
    <row r="22" spans="1:10">
      <c r="A22" s="55"/>
      <c r="B22" s="185" t="s">
        <v>230</v>
      </c>
      <c r="C22" s="160" t="s">
        <v>274</v>
      </c>
      <c r="D22" s="141">
        <v>7</v>
      </c>
      <c r="E22" s="141">
        <v>2</v>
      </c>
      <c r="F22" s="141">
        <f>E22*D22</f>
        <v>14</v>
      </c>
      <c r="H22" s="43"/>
    </row>
    <row r="23" spans="1:10">
      <c r="A23" s="55"/>
      <c r="B23" s="185" t="s">
        <v>231</v>
      </c>
      <c r="C23" s="160" t="s">
        <v>275</v>
      </c>
      <c r="D23" s="141">
        <v>6</v>
      </c>
      <c r="E23" s="141">
        <v>3</v>
      </c>
      <c r="F23" s="141">
        <f>E23*D23</f>
        <v>18</v>
      </c>
      <c r="H23" s="43"/>
    </row>
    <row r="24" spans="1:10">
      <c r="A24" s="38"/>
      <c r="B24" s="185" t="s">
        <v>232</v>
      </c>
      <c r="C24" s="161" t="s">
        <v>233</v>
      </c>
      <c r="D24" s="141">
        <v>1</v>
      </c>
      <c r="E24" s="141">
        <v>1</v>
      </c>
      <c r="F24" s="141">
        <f t="shared" ref="F24:F28" si="0">E24*D24</f>
        <v>1</v>
      </c>
      <c r="G24" s="35"/>
      <c r="H24" s="43"/>
      <c r="J24" t="s">
        <v>299</v>
      </c>
    </row>
    <row r="25" spans="1:10">
      <c r="A25" s="38"/>
      <c r="B25" s="185"/>
      <c r="C25" s="160" t="s">
        <v>276</v>
      </c>
      <c r="D25" s="141">
        <v>4</v>
      </c>
      <c r="E25" s="141">
        <v>4</v>
      </c>
      <c r="F25" s="141">
        <f t="shared" si="0"/>
        <v>16</v>
      </c>
      <c r="G25" s="35"/>
      <c r="H25" s="43"/>
    </row>
    <row r="26" spans="1:10">
      <c r="A26" s="38"/>
      <c r="B26" s="185" t="s">
        <v>232</v>
      </c>
      <c r="C26" s="161" t="s">
        <v>277</v>
      </c>
      <c r="D26" s="141">
        <v>3</v>
      </c>
      <c r="E26" s="141">
        <v>4</v>
      </c>
      <c r="F26" s="141">
        <f t="shared" si="0"/>
        <v>12</v>
      </c>
      <c r="G26" s="35"/>
      <c r="H26" s="43"/>
    </row>
    <row r="27" spans="1:10">
      <c r="A27" s="38"/>
      <c r="B27" s="375" t="s">
        <v>279</v>
      </c>
      <c r="C27" s="161">
        <v>44621</v>
      </c>
      <c r="D27" s="141">
        <v>1</v>
      </c>
      <c r="E27" s="141">
        <v>1</v>
      </c>
      <c r="F27" s="141">
        <f t="shared" si="0"/>
        <v>1</v>
      </c>
      <c r="G27" s="35"/>
      <c r="H27" s="43"/>
    </row>
    <row r="28" spans="1:10" ht="15.75" customHeight="1">
      <c r="A28" s="38"/>
      <c r="B28" s="375"/>
      <c r="C28" s="161">
        <v>44652</v>
      </c>
      <c r="D28" s="141">
        <v>1</v>
      </c>
      <c r="E28" s="141">
        <v>2</v>
      </c>
      <c r="F28" s="141">
        <f t="shared" si="0"/>
        <v>2</v>
      </c>
      <c r="H28" s="43"/>
    </row>
    <row r="29" spans="1:10" ht="15.75">
      <c r="A29" s="38"/>
      <c r="B29" s="45"/>
      <c r="C29" s="159"/>
      <c r="D29" s="210"/>
      <c r="E29" s="210" t="s">
        <v>9</v>
      </c>
      <c r="F29" s="210">
        <f>SUM(F21:F28)</f>
        <v>88</v>
      </c>
      <c r="H29" s="43"/>
    </row>
    <row r="30" spans="1:10" ht="15.75">
      <c r="A30" s="38"/>
      <c r="B30" s="45"/>
      <c r="C30" s="35"/>
      <c r="D30" s="205" t="s">
        <v>336</v>
      </c>
      <c r="E30" s="205"/>
      <c r="F30" s="141">
        <v>15</v>
      </c>
      <c r="G30" s="197" t="s">
        <v>298</v>
      </c>
      <c r="H30" s="43"/>
    </row>
    <row r="31" spans="1:10" ht="15.75">
      <c r="A31" s="38"/>
      <c r="B31" s="45"/>
      <c r="C31" s="35"/>
      <c r="D31" s="208" t="s">
        <v>287</v>
      </c>
      <c r="E31" s="208"/>
      <c r="F31" s="141">
        <f>F29-F30</f>
        <v>73</v>
      </c>
      <c r="G31" s="197" t="s">
        <v>285</v>
      </c>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ht="15.75">
      <c r="A35" s="38"/>
      <c r="B35" s="45"/>
      <c r="C35" s="35"/>
      <c r="D35" s="35"/>
      <c r="E35" s="35"/>
      <c r="F35" s="35"/>
      <c r="G35" s="35"/>
      <c r="H35" s="43"/>
    </row>
    <row r="36" spans="1:8" ht="60" customHeight="1">
      <c r="A36" s="38"/>
      <c r="B36" s="45"/>
      <c r="C36" s="35"/>
      <c r="D36" s="339"/>
      <c r="E36" s="339"/>
      <c r="F36" s="339"/>
      <c r="G36" s="54"/>
      <c r="H36" s="43"/>
    </row>
    <row r="37" spans="1:8" ht="15.75">
      <c r="A37" s="38"/>
      <c r="B37" s="45"/>
      <c r="C37" s="35"/>
      <c r="D37" s="35"/>
      <c r="E37" s="35"/>
      <c r="F37" s="35"/>
      <c r="G37" s="35"/>
      <c r="H37" s="43"/>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313" t="s">
        <v>137</v>
      </c>
      <c r="B52" s="314"/>
      <c r="C52" s="314"/>
      <c r="D52" s="314"/>
      <c r="E52" s="314"/>
      <c r="F52" s="314"/>
      <c r="G52" s="314"/>
      <c r="H52" s="315"/>
    </row>
    <row r="53" spans="1:8" ht="15.75">
      <c r="A53" s="48"/>
      <c r="B53" s="33"/>
      <c r="C53" s="49"/>
      <c r="D53" s="49"/>
      <c r="E53" s="49"/>
      <c r="F53" s="50"/>
      <c r="G53" s="51"/>
      <c r="H53" s="52"/>
    </row>
    <row r="54" spans="1:8">
      <c r="A54" s="27"/>
      <c r="B54" s="29"/>
      <c r="C54" s="30"/>
      <c r="D54" s="31"/>
      <c r="E54" s="32"/>
      <c r="F54" s="30"/>
      <c r="G54" s="30"/>
      <c r="H54" s="30"/>
    </row>
  </sheetData>
  <mergeCells count="10">
    <mergeCell ref="C8:E8"/>
    <mergeCell ref="C9:D9"/>
    <mergeCell ref="D36:F36"/>
    <mergeCell ref="A52:H52"/>
    <mergeCell ref="A2:H2"/>
    <mergeCell ref="A3:H3"/>
    <mergeCell ref="A4:H4"/>
    <mergeCell ref="B6:H6"/>
    <mergeCell ref="B7:F7"/>
    <mergeCell ref="B27:B28"/>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H14" sqref="H14"/>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7.7109375" bestFit="1" customWidth="1"/>
    <col min="7" max="7" width="10.42578125" customWidth="1"/>
    <col min="8" max="8" width="9" bestFit="1" customWidth="1"/>
  </cols>
  <sheetData>
    <row r="1" spans="1:8" ht="20.25">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c r="A5" s="34"/>
      <c r="B5" s="35"/>
      <c r="C5" s="36"/>
      <c r="D5" s="36"/>
      <c r="E5" s="26"/>
      <c r="F5" s="36"/>
      <c r="G5" s="36"/>
      <c r="H5" s="37"/>
    </row>
    <row r="6" spans="1:8">
      <c r="A6" s="59">
        <v>1</v>
      </c>
      <c r="B6" s="326" t="s">
        <v>123</v>
      </c>
      <c r="C6" s="326"/>
      <c r="D6" s="326"/>
      <c r="E6" s="326"/>
      <c r="F6" s="326"/>
      <c r="G6" s="326"/>
      <c r="H6" s="327"/>
    </row>
    <row r="7" spans="1:8">
      <c r="A7" s="60">
        <v>114</v>
      </c>
      <c r="B7" s="363" t="s">
        <v>141</v>
      </c>
      <c r="C7" s="363"/>
      <c r="D7" s="363"/>
      <c r="E7" s="363"/>
      <c r="F7" s="363"/>
      <c r="G7" s="363"/>
      <c r="H7" s="364"/>
    </row>
    <row r="8" spans="1:8" ht="15.75" customHeight="1">
      <c r="A8" s="61"/>
      <c r="B8" s="330"/>
      <c r="C8" s="331"/>
      <c r="D8" s="331"/>
      <c r="E8" s="331"/>
      <c r="F8" s="331"/>
      <c r="G8" s="62" t="s">
        <v>124</v>
      </c>
      <c r="H8" s="82" t="s">
        <v>138</v>
      </c>
    </row>
    <row r="9" spans="1:8">
      <c r="A9" s="38"/>
      <c r="B9" s="27"/>
      <c r="C9" s="316"/>
      <c r="D9" s="316"/>
      <c r="E9" s="316"/>
      <c r="F9" s="39"/>
      <c r="G9" s="53"/>
      <c r="H9" s="40"/>
    </row>
    <row r="10" spans="1:8" ht="15.75">
      <c r="A10" s="41" t="s">
        <v>113</v>
      </c>
      <c r="B10" s="27"/>
      <c r="C10" s="340"/>
      <c r="D10" s="340"/>
      <c r="E10" s="53"/>
      <c r="F10" s="39"/>
      <c r="G10" s="53"/>
      <c r="H10" s="40"/>
    </row>
    <row r="11" spans="1:8" ht="15.75">
      <c r="A11" s="38"/>
      <c r="B11" s="65" t="s">
        <v>114</v>
      </c>
      <c r="C11" s="65" t="s">
        <v>44</v>
      </c>
      <c r="D11" s="65" t="s">
        <v>332</v>
      </c>
      <c r="E11" s="66"/>
      <c r="F11" s="66" t="s">
        <v>297</v>
      </c>
      <c r="G11" s="66" t="s">
        <v>9</v>
      </c>
      <c r="H11" s="40"/>
    </row>
    <row r="12" spans="1:8">
      <c r="A12" s="64"/>
      <c r="B12" s="67" t="s">
        <v>149</v>
      </c>
      <c r="C12" s="68">
        <v>12</v>
      </c>
      <c r="D12" s="83"/>
      <c r="E12" s="69"/>
      <c r="F12" s="70"/>
      <c r="G12" s="70"/>
      <c r="H12" s="40"/>
    </row>
    <row r="13" spans="1:8" ht="15.75">
      <c r="A13" s="38"/>
      <c r="B13" s="79" t="s">
        <v>9</v>
      </c>
      <c r="C13" s="80"/>
      <c r="D13" s="80"/>
      <c r="E13" s="80"/>
      <c r="F13" s="80"/>
      <c r="G13" s="81"/>
      <c r="H13" s="40"/>
    </row>
    <row r="14" spans="1:8">
      <c r="A14" s="38"/>
      <c r="B14" s="35"/>
      <c r="C14" s="35"/>
      <c r="D14" s="35"/>
      <c r="E14" s="35"/>
      <c r="F14" s="35"/>
      <c r="G14" s="35"/>
      <c r="H14" s="40"/>
    </row>
    <row r="15" spans="1:8" ht="15.75">
      <c r="A15" s="42"/>
      <c r="B15" s="71" t="s">
        <v>117</v>
      </c>
      <c r="C15" s="72">
        <v>1</v>
      </c>
      <c r="D15" s="35"/>
      <c r="E15" s="35"/>
      <c r="F15" s="209" t="s">
        <v>288</v>
      </c>
      <c r="G15" s="202">
        <v>8.3333333333329998E-2</v>
      </c>
      <c r="H15" s="43"/>
    </row>
    <row r="16" spans="1:8" ht="15.75">
      <c r="A16" s="44"/>
      <c r="B16" s="71" t="s">
        <v>118</v>
      </c>
      <c r="C16" s="72">
        <f>SUM(G15:G26)</f>
        <v>1</v>
      </c>
      <c r="D16" s="84"/>
      <c r="F16" s="209" t="s">
        <v>289</v>
      </c>
      <c r="G16" s="202">
        <v>8.3333333333329998E-2</v>
      </c>
      <c r="H16" s="43"/>
    </row>
    <row r="17" spans="1:10" ht="15.75">
      <c r="A17" s="44"/>
      <c r="B17" s="71" t="s">
        <v>119</v>
      </c>
      <c r="C17" s="72">
        <f>C15-C16</f>
        <v>0</v>
      </c>
      <c r="D17" s="35"/>
      <c r="E17" s="35"/>
      <c r="F17" s="209" t="s">
        <v>286</v>
      </c>
      <c r="G17" s="202">
        <v>8.3333333333329998E-2</v>
      </c>
      <c r="H17" s="43"/>
    </row>
    <row r="18" spans="1:10" ht="15.75">
      <c r="A18" s="55"/>
      <c r="B18" s="71" t="s">
        <v>120</v>
      </c>
      <c r="C18" s="72"/>
      <c r="D18" s="35"/>
      <c r="E18" s="35"/>
      <c r="F18" s="209" t="s">
        <v>290</v>
      </c>
      <c r="G18" s="202">
        <v>7.0000000000000007E-2</v>
      </c>
      <c r="H18" s="43"/>
    </row>
    <row r="19" spans="1:10" ht="15.75">
      <c r="A19" s="55"/>
      <c r="B19" s="71" t="s">
        <v>121</v>
      </c>
      <c r="C19" s="72"/>
      <c r="D19" s="35"/>
      <c r="E19" s="35"/>
      <c r="F19" s="209" t="s">
        <v>291</v>
      </c>
      <c r="G19" s="202">
        <v>0.08</v>
      </c>
      <c r="H19" s="43"/>
    </row>
    <row r="20" spans="1:10">
      <c r="A20" s="55"/>
      <c r="F20" s="209" t="s">
        <v>292</v>
      </c>
      <c r="G20" s="202">
        <v>0.08</v>
      </c>
      <c r="H20" s="43"/>
    </row>
    <row r="21" spans="1:10">
      <c r="A21" s="55"/>
      <c r="F21" s="209" t="s">
        <v>293</v>
      </c>
      <c r="G21" s="202">
        <v>0.08</v>
      </c>
      <c r="H21" s="43"/>
    </row>
    <row r="22" spans="1:10">
      <c r="A22" s="55"/>
      <c r="F22" s="209" t="s">
        <v>294</v>
      </c>
      <c r="G22" s="202">
        <v>0.08</v>
      </c>
      <c r="H22" s="43"/>
    </row>
    <row r="23" spans="1:10">
      <c r="A23" s="55"/>
      <c r="F23" s="209" t="s">
        <v>304</v>
      </c>
      <c r="G23" s="202">
        <v>0.08</v>
      </c>
      <c r="H23" s="43"/>
    </row>
    <row r="24" spans="1:10">
      <c r="A24" s="55"/>
      <c r="F24" s="209" t="s">
        <v>311</v>
      </c>
      <c r="G24" s="202">
        <v>0.1</v>
      </c>
      <c r="H24" s="43"/>
      <c r="J24" t="s">
        <v>299</v>
      </c>
    </row>
    <row r="25" spans="1:10" ht="15.75">
      <c r="A25" s="38"/>
      <c r="B25" s="45"/>
      <c r="C25" s="35"/>
      <c r="D25" s="35"/>
      <c r="E25" s="35"/>
      <c r="F25" s="209" t="s">
        <v>316</v>
      </c>
      <c r="G25" s="202">
        <v>0.09</v>
      </c>
      <c r="H25" s="43"/>
    </row>
    <row r="26" spans="1:10" ht="15.75">
      <c r="A26" s="38"/>
      <c r="B26" s="45"/>
      <c r="C26" s="35"/>
      <c r="D26" s="35"/>
      <c r="E26" s="35"/>
      <c r="F26" s="209" t="s">
        <v>324</v>
      </c>
      <c r="G26" s="202">
        <f>1-SUM(G15:G25)</f>
        <v>9.0000000000010072E-2</v>
      </c>
      <c r="H26" s="43"/>
    </row>
    <row r="27" spans="1:10" ht="15.75">
      <c r="A27" s="38"/>
      <c r="B27" s="45"/>
      <c r="C27" s="35"/>
      <c r="D27" s="35"/>
      <c r="E27" s="35"/>
      <c r="F27" s="35" t="s">
        <v>333</v>
      </c>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ht="15.75">
      <c r="A35" s="38"/>
      <c r="B35" s="45"/>
      <c r="C35" s="35"/>
      <c r="D35" s="35"/>
      <c r="E35" s="35"/>
      <c r="F35" s="35"/>
      <c r="G35" s="35"/>
      <c r="H35" s="43"/>
    </row>
    <row r="36" spans="1:8" ht="60" customHeight="1">
      <c r="A36" s="38"/>
      <c r="B36" s="45"/>
      <c r="C36" s="35"/>
      <c r="D36" s="339"/>
      <c r="E36" s="339"/>
      <c r="F36" s="339"/>
      <c r="G36" s="54"/>
      <c r="H36" s="43"/>
    </row>
    <row r="37" spans="1:8" ht="15.75">
      <c r="A37" s="38"/>
      <c r="B37" s="45"/>
      <c r="C37" s="35"/>
      <c r="D37" s="35"/>
      <c r="E37" s="35"/>
      <c r="F37" s="35"/>
      <c r="G37" s="35"/>
      <c r="H37" s="43"/>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313" t="s">
        <v>150</v>
      </c>
      <c r="B52" s="314"/>
      <c r="C52" s="314"/>
      <c r="D52" s="314"/>
      <c r="E52" s="314"/>
      <c r="F52" s="314"/>
      <c r="G52" s="314"/>
      <c r="H52" s="315"/>
    </row>
    <row r="53" spans="1:8" ht="15.75" customHeight="1">
      <c r="A53" s="376"/>
      <c r="B53" s="377"/>
      <c r="C53" s="377"/>
      <c r="D53" s="377"/>
      <c r="E53" s="377"/>
      <c r="F53" s="377"/>
      <c r="G53" s="377"/>
      <c r="H53" s="378"/>
    </row>
    <row r="54" spans="1:8">
      <c r="A54" s="27"/>
      <c r="B54" s="29"/>
      <c r="C54" s="30"/>
      <c r="D54" s="31"/>
      <c r="E54" s="32"/>
      <c r="F54" s="30"/>
      <c r="G54" s="30"/>
      <c r="H54" s="30"/>
    </row>
  </sheetData>
  <mergeCells count="10">
    <mergeCell ref="A52:H53"/>
    <mergeCell ref="C9:E9"/>
    <mergeCell ref="C10:D10"/>
    <mergeCell ref="D36:F36"/>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84" orientation="portrait"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G15" sqref="G15"/>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c r="A5" s="34"/>
      <c r="B5" s="35"/>
      <c r="C5" s="36"/>
      <c r="D5" s="36"/>
      <c r="E5" s="26"/>
      <c r="F5" s="36"/>
      <c r="G5" s="36"/>
      <c r="H5" s="37"/>
    </row>
    <row r="6" spans="1:8">
      <c r="A6" s="59">
        <v>1</v>
      </c>
      <c r="B6" s="326" t="s">
        <v>123</v>
      </c>
      <c r="C6" s="326"/>
      <c r="D6" s="326"/>
      <c r="E6" s="326"/>
      <c r="F6" s="326"/>
      <c r="G6" s="326"/>
      <c r="H6" s="327"/>
    </row>
    <row r="7" spans="1:8" ht="27.75" customHeight="1">
      <c r="A7" s="60">
        <v>115</v>
      </c>
      <c r="B7" s="363" t="s">
        <v>142</v>
      </c>
      <c r="C7" s="363"/>
      <c r="D7" s="363"/>
      <c r="E7" s="363"/>
      <c r="F7" s="363"/>
      <c r="G7" s="363"/>
      <c r="H7" s="364"/>
    </row>
    <row r="8" spans="1:8" ht="15.75" customHeight="1">
      <c r="A8" s="61"/>
      <c r="B8" s="330"/>
      <c r="C8" s="331"/>
      <c r="D8" s="331"/>
      <c r="E8" s="331"/>
      <c r="F8" s="331"/>
      <c r="G8" s="62" t="s">
        <v>124</v>
      </c>
      <c r="H8" s="82" t="s">
        <v>138</v>
      </c>
    </row>
    <row r="9" spans="1:8">
      <c r="A9" s="38"/>
      <c r="B9" s="27"/>
      <c r="C9" s="316"/>
      <c r="D9" s="316"/>
      <c r="E9" s="316"/>
      <c r="F9" s="39"/>
      <c r="G9" s="53"/>
      <c r="H9" s="40"/>
    </row>
    <row r="10" spans="1:8" ht="15.75">
      <c r="A10" s="41" t="s">
        <v>113</v>
      </c>
      <c r="B10" s="27"/>
      <c r="C10" s="340"/>
      <c r="D10" s="340"/>
      <c r="E10" s="53"/>
      <c r="F10" s="39"/>
      <c r="G10" s="53"/>
      <c r="H10" s="40"/>
    </row>
    <row r="11" spans="1:8" ht="15.75">
      <c r="A11" s="38"/>
      <c r="B11" s="65" t="s">
        <v>114</v>
      </c>
      <c r="C11" s="65" t="s">
        <v>44</v>
      </c>
      <c r="D11" s="65"/>
      <c r="E11" s="66"/>
      <c r="F11" s="66"/>
      <c r="G11" s="66" t="s">
        <v>9</v>
      </c>
      <c r="H11" s="40"/>
    </row>
    <row r="12" spans="1:8">
      <c r="A12" s="64"/>
      <c r="B12" s="67" t="s">
        <v>156</v>
      </c>
      <c r="C12" s="68">
        <v>0</v>
      </c>
      <c r="D12" s="83"/>
      <c r="E12" s="69"/>
      <c r="F12" s="70"/>
      <c r="G12" s="70">
        <f>C12</f>
        <v>0</v>
      </c>
      <c r="H12" s="40"/>
    </row>
    <row r="13" spans="1:8" ht="15.75">
      <c r="A13" s="38"/>
      <c r="B13" s="79" t="s">
        <v>9</v>
      </c>
      <c r="C13" s="80"/>
      <c r="D13" s="80"/>
      <c r="E13" s="80"/>
      <c r="F13" s="80"/>
      <c r="G13" s="81">
        <f>G12</f>
        <v>0</v>
      </c>
      <c r="H13" s="40"/>
    </row>
    <row r="14" spans="1:8">
      <c r="A14" s="38"/>
      <c r="B14" s="35"/>
      <c r="C14" s="35"/>
      <c r="D14" s="35"/>
      <c r="E14" s="35"/>
      <c r="F14" s="35"/>
      <c r="G14" s="35"/>
      <c r="H14" s="40"/>
    </row>
    <row r="15" spans="1:8" ht="15.75">
      <c r="A15" s="42"/>
      <c r="B15" s="71" t="s">
        <v>117</v>
      </c>
      <c r="C15" s="72">
        <v>20</v>
      </c>
      <c r="D15" s="35"/>
      <c r="E15" s="35"/>
      <c r="F15" s="35"/>
      <c r="G15" s="35"/>
      <c r="H15" s="43"/>
    </row>
    <row r="16" spans="1:8" ht="15.75">
      <c r="A16" s="44"/>
      <c r="B16" s="71" t="s">
        <v>118</v>
      </c>
      <c r="C16" s="72">
        <v>20</v>
      </c>
      <c r="D16" s="35"/>
      <c r="E16" s="35"/>
      <c r="F16" s="35"/>
      <c r="G16" s="35"/>
      <c r="H16" s="43"/>
    </row>
    <row r="17" spans="1:10" ht="15.75">
      <c r="A17" s="44"/>
      <c r="B17" s="71" t="s">
        <v>119</v>
      </c>
      <c r="C17" s="72">
        <f>C15-C16</f>
        <v>0</v>
      </c>
      <c r="D17" s="35"/>
      <c r="E17" s="35"/>
      <c r="F17" s="35"/>
      <c r="G17" s="35"/>
      <c r="H17" s="43"/>
    </row>
    <row r="18" spans="1:10" ht="15.75">
      <c r="A18" s="55"/>
      <c r="B18" s="71" t="s">
        <v>120</v>
      </c>
      <c r="C18" s="72"/>
      <c r="D18" s="35"/>
      <c r="E18" s="35"/>
      <c r="F18" s="35"/>
      <c r="G18" s="35"/>
      <c r="H18" s="43"/>
    </row>
    <row r="19" spans="1:10" ht="15.75">
      <c r="A19" s="55"/>
      <c r="B19" s="71" t="s">
        <v>121</v>
      </c>
      <c r="C19" s="72">
        <f>G12</f>
        <v>0</v>
      </c>
      <c r="D19" s="35"/>
      <c r="E19" s="35"/>
      <c r="F19" s="35"/>
      <c r="G19" s="35"/>
      <c r="H19" s="43"/>
    </row>
    <row r="20" spans="1:10">
      <c r="A20" s="55"/>
      <c r="H20" s="43"/>
    </row>
    <row r="21" spans="1:10">
      <c r="A21" s="129">
        <v>1</v>
      </c>
      <c r="B21" s="379" t="s">
        <v>162</v>
      </c>
      <c r="C21" s="379"/>
      <c r="D21" s="379"/>
      <c r="H21" s="43"/>
    </row>
    <row r="22" spans="1:10">
      <c r="A22" s="129">
        <v>2</v>
      </c>
      <c r="B22" s="379" t="s">
        <v>174</v>
      </c>
      <c r="C22" s="379"/>
      <c r="D22" s="379"/>
      <c r="H22" s="43"/>
    </row>
    <row r="23" spans="1:10">
      <c r="A23" s="129">
        <v>3</v>
      </c>
      <c r="B23" s="379" t="s">
        <v>163</v>
      </c>
      <c r="C23" s="379"/>
      <c r="D23" s="379"/>
      <c r="H23" s="43"/>
    </row>
    <row r="24" spans="1:10">
      <c r="A24" s="129">
        <v>4</v>
      </c>
      <c r="B24" s="379" t="s">
        <v>164</v>
      </c>
      <c r="C24" s="379"/>
      <c r="D24" s="379"/>
      <c r="H24" s="43"/>
      <c r="J24" t="s">
        <v>299</v>
      </c>
    </row>
    <row r="25" spans="1:10">
      <c r="A25" s="129">
        <v>5</v>
      </c>
      <c r="B25" s="379" t="s">
        <v>165</v>
      </c>
      <c r="C25" s="379"/>
      <c r="D25" s="379"/>
      <c r="E25" s="35"/>
      <c r="F25" s="35"/>
      <c r="G25" s="35"/>
      <c r="H25" s="43"/>
    </row>
    <row r="26" spans="1:10">
      <c r="A26" s="129">
        <v>6</v>
      </c>
      <c r="B26" s="379" t="s">
        <v>166</v>
      </c>
      <c r="C26" s="379"/>
      <c r="D26" s="379"/>
      <c r="E26" s="35"/>
      <c r="F26" s="35"/>
      <c r="G26" s="35"/>
      <c r="H26" s="43"/>
    </row>
    <row r="27" spans="1:10">
      <c r="A27" s="129">
        <v>7</v>
      </c>
      <c r="B27" s="379" t="s">
        <v>167</v>
      </c>
      <c r="C27" s="379"/>
      <c r="D27" s="379"/>
      <c r="E27" s="35"/>
      <c r="F27" s="35"/>
      <c r="G27" s="35"/>
      <c r="H27" s="43"/>
    </row>
    <row r="28" spans="1:10">
      <c r="A28" s="129">
        <v>8</v>
      </c>
      <c r="B28" s="379" t="s">
        <v>168</v>
      </c>
      <c r="C28" s="379"/>
      <c r="D28" s="379"/>
      <c r="E28" s="35"/>
      <c r="F28" s="35"/>
      <c r="G28" s="35"/>
      <c r="H28" s="43"/>
    </row>
    <row r="29" spans="1:10">
      <c r="A29" s="129">
        <v>9</v>
      </c>
      <c r="B29" s="379" t="s">
        <v>169</v>
      </c>
      <c r="C29" s="379"/>
      <c r="D29" s="379"/>
      <c r="E29" s="35"/>
      <c r="F29" s="35"/>
      <c r="G29" s="35"/>
      <c r="H29" s="43"/>
    </row>
    <row r="30" spans="1:10">
      <c r="A30" s="129">
        <v>10</v>
      </c>
      <c r="B30" s="379" t="s">
        <v>170</v>
      </c>
      <c r="C30" s="379"/>
      <c r="D30" s="379"/>
      <c r="E30" s="35"/>
      <c r="G30" s="35"/>
      <c r="H30" s="43"/>
    </row>
    <row r="31" spans="1:10">
      <c r="A31" s="129">
        <v>11</v>
      </c>
      <c r="B31" s="379" t="s">
        <v>171</v>
      </c>
      <c r="C31" s="379"/>
      <c r="D31" s="379"/>
      <c r="E31" s="35"/>
      <c r="F31" s="35"/>
      <c r="G31" s="35"/>
      <c r="H31" s="43"/>
    </row>
    <row r="32" spans="1:10">
      <c r="A32" s="129">
        <v>12</v>
      </c>
      <c r="B32" s="379" t="s">
        <v>172</v>
      </c>
      <c r="C32" s="379"/>
      <c r="D32" s="379"/>
      <c r="E32" s="35"/>
      <c r="F32" s="35"/>
      <c r="G32" s="35"/>
      <c r="H32" s="43"/>
    </row>
    <row r="33" spans="1:8">
      <c r="A33" s="129">
        <v>13</v>
      </c>
      <c r="B33" s="379" t="s">
        <v>173</v>
      </c>
      <c r="C33" s="379"/>
      <c r="D33" s="379"/>
      <c r="E33" s="35"/>
      <c r="F33" s="35"/>
      <c r="G33" s="35"/>
      <c r="H33" s="43"/>
    </row>
    <row r="34" spans="1:8">
      <c r="A34" s="129">
        <v>14</v>
      </c>
      <c r="B34" s="379" t="s">
        <v>178</v>
      </c>
      <c r="C34" s="379"/>
      <c r="D34" s="379"/>
      <c r="E34" s="35"/>
      <c r="F34" s="35"/>
      <c r="G34" s="35"/>
      <c r="H34" s="43"/>
    </row>
    <row r="35" spans="1:8">
      <c r="A35" s="129">
        <v>15</v>
      </c>
      <c r="B35" s="379" t="s">
        <v>182</v>
      </c>
      <c r="C35" s="379"/>
      <c r="D35" s="379"/>
      <c r="E35" s="128"/>
      <c r="F35" s="134"/>
      <c r="G35" s="35"/>
      <c r="H35" s="43"/>
    </row>
    <row r="36" spans="1:8" ht="15.75">
      <c r="A36" s="129">
        <v>16</v>
      </c>
      <c r="B36" s="379" t="s">
        <v>183</v>
      </c>
      <c r="C36" s="379"/>
      <c r="D36" s="379"/>
      <c r="E36" s="128"/>
      <c r="F36" s="134"/>
      <c r="G36" s="54"/>
      <c r="H36" s="43"/>
    </row>
    <row r="37" spans="1:8">
      <c r="A37" s="129">
        <v>17</v>
      </c>
      <c r="B37" s="379" t="s">
        <v>184</v>
      </c>
      <c r="C37" s="379"/>
      <c r="D37" s="379"/>
      <c r="E37" s="128"/>
      <c r="F37" s="134"/>
      <c r="G37" s="35"/>
      <c r="H37" s="43"/>
    </row>
    <row r="38" spans="1:8" ht="15.75">
      <c r="A38" s="129">
        <v>18</v>
      </c>
      <c r="B38" s="379" t="s">
        <v>185</v>
      </c>
      <c r="C38" s="379"/>
      <c r="D38" s="379"/>
      <c r="E38" s="128"/>
      <c r="F38" s="134"/>
      <c r="G38" s="28"/>
      <c r="H38" s="46"/>
    </row>
    <row r="39" spans="1:8" ht="15.75">
      <c r="A39" s="129">
        <v>19</v>
      </c>
      <c r="B39" s="379" t="s">
        <v>186</v>
      </c>
      <c r="C39" s="379"/>
      <c r="D39" s="379"/>
      <c r="E39" s="128"/>
      <c r="F39" s="134"/>
      <c r="G39" s="28"/>
      <c r="H39" s="46"/>
    </row>
    <row r="40" spans="1:8" ht="15.75">
      <c r="A40" s="129">
        <v>20</v>
      </c>
      <c r="B40" s="379" t="s">
        <v>187</v>
      </c>
      <c r="C40" s="379"/>
      <c r="D40" s="379"/>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313" t="s">
        <v>143</v>
      </c>
      <c r="B52" s="314"/>
      <c r="C52" s="314"/>
      <c r="D52" s="314"/>
      <c r="E52" s="314"/>
      <c r="F52" s="314"/>
      <c r="G52" s="314"/>
      <c r="H52" s="315"/>
    </row>
    <row r="53" spans="1:8" ht="15.75">
      <c r="A53" s="48"/>
      <c r="B53" s="33"/>
      <c r="C53" s="49"/>
      <c r="D53" s="49"/>
      <c r="E53" s="49"/>
      <c r="F53" s="50"/>
      <c r="G53" s="51"/>
      <c r="H53" s="52"/>
    </row>
    <row r="54" spans="1:8">
      <c r="A54" s="27"/>
      <c r="B54" s="29"/>
      <c r="C54" s="30"/>
      <c r="D54" s="31"/>
      <c r="E54" s="32"/>
      <c r="F54" s="30"/>
      <c r="G54" s="30"/>
      <c r="H54" s="30"/>
    </row>
  </sheetData>
  <mergeCells count="29">
    <mergeCell ref="B40:D40"/>
    <mergeCell ref="B35:D35"/>
    <mergeCell ref="B36:D36"/>
    <mergeCell ref="B37:D37"/>
    <mergeCell ref="B38:D38"/>
    <mergeCell ref="B39:D39"/>
    <mergeCell ref="B33:D33"/>
    <mergeCell ref="B34:D34"/>
    <mergeCell ref="B27:D27"/>
    <mergeCell ref="B28:D28"/>
    <mergeCell ref="B29:D29"/>
    <mergeCell ref="B30:D30"/>
    <mergeCell ref="B31:D31"/>
    <mergeCell ref="C9:E9"/>
    <mergeCell ref="C10:D10"/>
    <mergeCell ref="A52:H52"/>
    <mergeCell ref="A2:H2"/>
    <mergeCell ref="A3:H3"/>
    <mergeCell ref="A4:H4"/>
    <mergeCell ref="B6:H6"/>
    <mergeCell ref="B7:H7"/>
    <mergeCell ref="B8:F8"/>
    <mergeCell ref="B21:D21"/>
    <mergeCell ref="B22:D22"/>
    <mergeCell ref="B23:D23"/>
    <mergeCell ref="B24:D24"/>
    <mergeCell ref="B25:D25"/>
    <mergeCell ref="B26:D26"/>
    <mergeCell ref="B32:D32"/>
  </mergeCells>
  <pageMargins left="0.51181102362204722" right="0.51181102362204722" top="0.78740157480314965" bottom="0.78740157480314965" header="0.31496062992125984" footer="0.31496062992125984"/>
  <pageSetup paperSize="9" scale="88" orientation="portrait"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J61"/>
  <sheetViews>
    <sheetView view="pageBreakPreview" topLeftCell="A8" zoomScaleSheetLayoutView="100" workbookViewId="0">
      <selection activeCell="H40" sqref="H40"/>
    </sheetView>
  </sheetViews>
  <sheetFormatPr defaultRowHeight="15"/>
  <cols>
    <col min="1" max="1" width="12.28515625" customWidth="1"/>
    <col min="2" max="2" width="29.140625" customWidth="1"/>
    <col min="3" max="3" width="12.5703125" customWidth="1"/>
    <col min="4" max="4" width="13.28515625" customWidth="1"/>
    <col min="5" max="5" width="7.28515625" customWidth="1"/>
    <col min="6" max="6" width="9.7109375" bestFit="1" customWidth="1"/>
    <col min="7" max="7" width="10.42578125" customWidth="1"/>
    <col min="8" max="8" width="9" bestFit="1" customWidth="1"/>
    <col min="11" max="11" width="9" bestFit="1" customWidth="1"/>
  </cols>
  <sheetData>
    <row r="1" spans="1:8" ht="14.25" customHeight="1">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ht="8.25" customHeight="1">
      <c r="A5" s="34"/>
      <c r="B5" s="35"/>
      <c r="C5" s="36"/>
      <c r="D5" s="36"/>
      <c r="E5" s="26"/>
      <c r="F5" s="36"/>
      <c r="G5" s="36"/>
      <c r="H5" s="37"/>
    </row>
    <row r="6" spans="1:8">
      <c r="A6" s="59">
        <v>2</v>
      </c>
      <c r="B6" s="326" t="s">
        <v>179</v>
      </c>
      <c r="C6" s="326"/>
      <c r="D6" s="326"/>
      <c r="E6" s="326"/>
      <c r="F6" s="326"/>
      <c r="G6" s="326"/>
      <c r="H6" s="327"/>
    </row>
    <row r="7" spans="1:8" ht="64.5" customHeight="1">
      <c r="A7" s="60">
        <v>201</v>
      </c>
      <c r="B7" s="363" t="s">
        <v>72</v>
      </c>
      <c r="C7" s="363"/>
      <c r="D7" s="363"/>
      <c r="E7" s="363"/>
      <c r="F7" s="363"/>
      <c r="G7" s="363"/>
      <c r="H7" s="364"/>
    </row>
    <row r="8" spans="1:8" ht="15.75" customHeight="1">
      <c r="A8" s="61"/>
      <c r="B8" s="330"/>
      <c r="C8" s="331"/>
      <c r="D8" s="331"/>
      <c r="E8" s="331"/>
      <c r="F8" s="331"/>
      <c r="G8" s="62" t="s">
        <v>124</v>
      </c>
      <c r="H8" s="82" t="s">
        <v>198</v>
      </c>
    </row>
    <row r="9" spans="1:8">
      <c r="A9" s="38"/>
      <c r="B9" s="27"/>
      <c r="C9" s="316"/>
      <c r="D9" s="316"/>
      <c r="E9" s="316"/>
      <c r="F9" s="39"/>
      <c r="G9" s="53"/>
      <c r="H9" s="40"/>
    </row>
    <row r="10" spans="1:8" ht="15.75">
      <c r="A10" s="41" t="s">
        <v>113</v>
      </c>
      <c r="B10" s="27"/>
      <c r="C10" s="340"/>
      <c r="D10" s="340"/>
      <c r="E10" s="53"/>
      <c r="F10" s="39"/>
      <c r="G10" s="53"/>
      <c r="H10" s="40"/>
    </row>
    <row r="11" spans="1:8" ht="15.75">
      <c r="A11" s="38"/>
      <c r="B11" s="65" t="s">
        <v>114</v>
      </c>
      <c r="C11" s="65" t="s">
        <v>44</v>
      </c>
      <c r="D11" s="65"/>
      <c r="E11" s="66"/>
      <c r="F11" s="66"/>
      <c r="G11" s="66" t="s">
        <v>9</v>
      </c>
      <c r="H11" s="40"/>
    </row>
    <row r="12" spans="1:8">
      <c r="A12" s="64"/>
      <c r="B12" s="67" t="s">
        <v>180</v>
      </c>
      <c r="C12" s="68"/>
      <c r="D12" s="83"/>
      <c r="E12" s="69"/>
      <c r="F12" s="70"/>
      <c r="G12" s="70">
        <f>H41</f>
        <v>181.68</v>
      </c>
      <c r="H12" s="40"/>
    </row>
    <row r="13" spans="1:8" ht="15.75">
      <c r="A13" s="38"/>
      <c r="B13" s="79" t="s">
        <v>9</v>
      </c>
      <c r="C13" s="80"/>
      <c r="D13" s="80"/>
      <c r="E13" s="80"/>
      <c r="F13" s="80"/>
      <c r="G13" s="81">
        <f>G12</f>
        <v>181.68</v>
      </c>
      <c r="H13" s="40"/>
    </row>
    <row r="14" spans="1:8">
      <c r="A14" s="38"/>
      <c r="B14" s="35"/>
      <c r="C14" s="35"/>
      <c r="D14" s="35"/>
      <c r="E14" s="35"/>
      <c r="F14" s="35"/>
      <c r="G14" s="35"/>
      <c r="H14" s="40"/>
    </row>
    <row r="15" spans="1:8" ht="15.75">
      <c r="A15" s="42"/>
      <c r="B15" s="71" t="s">
        <v>117</v>
      </c>
      <c r="C15" s="72">
        <f>'BM17'!D28</f>
        <v>4300</v>
      </c>
      <c r="D15" s="166"/>
      <c r="E15" s="35"/>
      <c r="F15" s="35"/>
      <c r="G15" s="35"/>
      <c r="H15" s="43"/>
    </row>
    <row r="16" spans="1:8" ht="15.75">
      <c r="A16" s="44"/>
      <c r="B16" s="71" t="s">
        <v>118</v>
      </c>
      <c r="C16" s="72">
        <f>G42</f>
        <v>3968.3172999999997</v>
      </c>
      <c r="D16" s="167"/>
      <c r="E16" s="35"/>
      <c r="F16" s="35"/>
      <c r="G16" s="35"/>
      <c r="H16" s="43"/>
    </row>
    <row r="17" spans="1:10" ht="15.75">
      <c r="A17" s="44"/>
      <c r="B17" s="71" t="s">
        <v>119</v>
      </c>
      <c r="C17" s="72">
        <f>C15-C16</f>
        <v>331.6827000000003</v>
      </c>
      <c r="D17" s="35"/>
      <c r="E17" s="35"/>
      <c r="F17" s="35"/>
      <c r="G17" s="35"/>
      <c r="H17" s="43"/>
    </row>
    <row r="18" spans="1:10" ht="15.75">
      <c r="A18" s="55"/>
      <c r="B18" s="71" t="s">
        <v>120</v>
      </c>
      <c r="C18" s="72"/>
      <c r="D18" s="35"/>
      <c r="E18" s="35"/>
      <c r="F18" s="35"/>
      <c r="G18" s="35"/>
      <c r="H18" s="43"/>
    </row>
    <row r="19" spans="1:10" ht="15.75">
      <c r="A19" s="55"/>
      <c r="B19" s="71" t="s">
        <v>121</v>
      </c>
      <c r="C19" s="72">
        <f>G12</f>
        <v>181.68</v>
      </c>
      <c r="D19" s="35"/>
      <c r="E19" s="35"/>
      <c r="F19" s="35"/>
      <c r="G19" s="35"/>
      <c r="H19" s="43"/>
    </row>
    <row r="20" spans="1:10">
      <c r="A20" s="336" t="s">
        <v>344</v>
      </c>
      <c r="B20" s="337"/>
      <c r="C20" s="338"/>
      <c r="E20" s="35"/>
      <c r="F20" s="35"/>
      <c r="G20" s="35"/>
      <c r="H20" s="43"/>
    </row>
    <row r="21" spans="1:10">
      <c r="A21" s="336" t="s">
        <v>180</v>
      </c>
      <c r="B21" s="337"/>
      <c r="C21" s="338"/>
      <c r="H21" s="43"/>
    </row>
    <row r="22" spans="1:10">
      <c r="A22" s="138" t="s">
        <v>200</v>
      </c>
      <c r="B22" s="139" t="s">
        <v>175</v>
      </c>
      <c r="C22" s="139" t="s">
        <v>260</v>
      </c>
      <c r="D22" s="138" t="s">
        <v>201</v>
      </c>
      <c r="E22" s="174" t="s">
        <v>102</v>
      </c>
      <c r="F22" s="230" t="s">
        <v>211</v>
      </c>
      <c r="G22" s="141" t="s">
        <v>212</v>
      </c>
      <c r="H22" s="43"/>
    </row>
    <row r="23" spans="1:10">
      <c r="A23" s="160" t="s">
        <v>202</v>
      </c>
      <c r="B23" s="156">
        <v>91.417500000000004</v>
      </c>
      <c r="C23" s="156">
        <v>12.31</v>
      </c>
      <c r="D23" s="174" t="s">
        <v>198</v>
      </c>
      <c r="E23" s="146">
        <v>44501</v>
      </c>
      <c r="F23" s="140">
        <v>1074.92</v>
      </c>
      <c r="G23" s="140"/>
      <c r="H23" s="231"/>
    </row>
    <row r="24" spans="1:10">
      <c r="A24" s="160" t="s">
        <v>203</v>
      </c>
      <c r="B24" s="156">
        <v>170.01200000000003</v>
      </c>
      <c r="C24" s="156">
        <v>22.98</v>
      </c>
      <c r="D24" s="174" t="s">
        <v>198</v>
      </c>
      <c r="E24" s="146">
        <v>44531</v>
      </c>
      <c r="F24" s="151">
        <v>1247.6699999999998</v>
      </c>
      <c r="G24" s="140">
        <f t="shared" ref="G24:G29" si="0">F24-F23</f>
        <v>172.74999999999977</v>
      </c>
      <c r="H24" s="232"/>
      <c r="J24" t="s">
        <v>299</v>
      </c>
    </row>
    <row r="25" spans="1:10">
      <c r="A25" s="160" t="s">
        <v>204</v>
      </c>
      <c r="B25" s="156">
        <v>133.50800000000001</v>
      </c>
      <c r="C25" s="156">
        <v>14.22</v>
      </c>
      <c r="D25" s="174" t="s">
        <v>198</v>
      </c>
      <c r="E25" s="186">
        <v>44562</v>
      </c>
      <c r="F25" s="187">
        <v>1890.2673</v>
      </c>
      <c r="G25" s="187">
        <f t="shared" si="0"/>
        <v>642.59730000000013</v>
      </c>
      <c r="H25" s="232"/>
    </row>
    <row r="26" spans="1:10">
      <c r="A26" s="160" t="s">
        <v>205</v>
      </c>
      <c r="B26" s="156">
        <v>538.995</v>
      </c>
      <c r="C26" s="156">
        <v>66.98</v>
      </c>
      <c r="D26" s="174" t="s">
        <v>198</v>
      </c>
      <c r="E26" s="146">
        <v>44593</v>
      </c>
      <c r="F26" s="151">
        <v>2242.8572999999997</v>
      </c>
      <c r="G26" s="151">
        <f t="shared" si="0"/>
        <v>352.58999999999969</v>
      </c>
      <c r="H26" s="233"/>
    </row>
    <row r="27" spans="1:10">
      <c r="A27" s="160" t="s">
        <v>206</v>
      </c>
      <c r="B27" s="156">
        <v>133.50800000000001</v>
      </c>
      <c r="C27" s="156">
        <v>15.29</v>
      </c>
      <c r="D27" s="174" t="s">
        <v>198</v>
      </c>
      <c r="E27" s="146">
        <v>44621</v>
      </c>
      <c r="F27" s="151">
        <v>2676.3672999999999</v>
      </c>
      <c r="G27" s="151">
        <f t="shared" si="0"/>
        <v>433.51000000000022</v>
      </c>
      <c r="H27" s="234"/>
    </row>
    <row r="28" spans="1:10">
      <c r="A28" s="160" t="s">
        <v>207</v>
      </c>
      <c r="B28" s="156">
        <v>170.01200000000003</v>
      </c>
      <c r="C28" s="156">
        <v>15.49</v>
      </c>
      <c r="D28" s="141" t="s">
        <v>198</v>
      </c>
      <c r="E28" s="146">
        <v>44652</v>
      </c>
      <c r="F28" s="151">
        <v>3100.7832999999996</v>
      </c>
      <c r="G28" s="151">
        <f t="shared" si="0"/>
        <v>424.41599999999971</v>
      </c>
      <c r="H28" s="234"/>
    </row>
    <row r="29" spans="1:10">
      <c r="A29" s="160" t="s">
        <v>210</v>
      </c>
      <c r="B29" s="156">
        <v>91.417500000000004</v>
      </c>
      <c r="C29" s="156">
        <v>12.31</v>
      </c>
      <c r="D29" s="141" t="s">
        <v>198</v>
      </c>
      <c r="E29" s="146">
        <v>44682</v>
      </c>
      <c r="F29" s="151">
        <v>3338.1133</v>
      </c>
      <c r="G29" s="151">
        <f t="shared" si="0"/>
        <v>237.33000000000038</v>
      </c>
      <c r="H29" s="234"/>
    </row>
    <row r="30" spans="1:10">
      <c r="A30" s="160" t="s">
        <v>219</v>
      </c>
      <c r="B30" s="156">
        <v>150.52000000000001</v>
      </c>
      <c r="C30" s="156">
        <v>26.5</v>
      </c>
      <c r="D30" s="141" t="s">
        <v>198</v>
      </c>
      <c r="E30" s="146">
        <v>44713</v>
      </c>
      <c r="F30" s="151">
        <v>3351.7132999999994</v>
      </c>
      <c r="G30" s="151">
        <f>F30-F29</f>
        <v>13.599999999999454</v>
      </c>
      <c r="H30" s="234"/>
    </row>
    <row r="31" spans="1:10">
      <c r="A31" s="160" t="s">
        <v>220</v>
      </c>
      <c r="B31" s="156">
        <v>73.378500000000003</v>
      </c>
      <c r="C31" s="156">
        <v>6.54</v>
      </c>
      <c r="D31" s="141" t="s">
        <v>198</v>
      </c>
      <c r="E31" s="146">
        <v>44774</v>
      </c>
      <c r="F31" s="151">
        <v>3628.8108000000002</v>
      </c>
      <c r="G31" s="151">
        <f>F31-F30</f>
        <v>277.09750000000076</v>
      </c>
      <c r="H31" s="234"/>
    </row>
    <row r="32" spans="1:10">
      <c r="A32" s="160" t="s">
        <v>221</v>
      </c>
      <c r="B32" s="156">
        <v>31.42</v>
      </c>
      <c r="C32" s="156">
        <v>20.16</v>
      </c>
      <c r="D32" s="141" t="s">
        <v>198</v>
      </c>
      <c r="E32" s="146">
        <v>44805</v>
      </c>
      <c r="F32" s="151">
        <v>3698.4173000000001</v>
      </c>
      <c r="G32" s="151">
        <f>F32-F31</f>
        <v>69.606499999999869</v>
      </c>
      <c r="H32" s="234"/>
    </row>
    <row r="33" spans="1:8" ht="15" customHeight="1">
      <c r="A33" s="160" t="s">
        <v>222</v>
      </c>
      <c r="B33" s="156">
        <v>292.00880000000001</v>
      </c>
      <c r="C33" s="156">
        <v>42.81</v>
      </c>
      <c r="D33" s="141" t="s">
        <v>198</v>
      </c>
      <c r="E33" s="146">
        <v>44835</v>
      </c>
      <c r="F33" s="151">
        <f>B50</f>
        <v>3786.6372999999999</v>
      </c>
      <c r="G33" s="151">
        <f>F33-F32</f>
        <v>88.2199999999998</v>
      </c>
      <c r="H33" s="188"/>
    </row>
    <row r="34" spans="1:8" ht="15" customHeight="1">
      <c r="A34" s="160" t="s">
        <v>223</v>
      </c>
      <c r="B34" s="156">
        <v>162.81</v>
      </c>
      <c r="C34" s="156">
        <v>5.33</v>
      </c>
      <c r="D34" s="141" t="s">
        <v>198</v>
      </c>
      <c r="H34" s="188"/>
    </row>
    <row r="35" spans="1:8" ht="15" customHeight="1">
      <c r="A35" s="160" t="s">
        <v>246</v>
      </c>
      <c r="B35" s="156">
        <v>77.38</v>
      </c>
      <c r="C35" s="156">
        <v>2.5299999999999998</v>
      </c>
      <c r="D35" s="141" t="s">
        <v>198</v>
      </c>
      <c r="E35" s="236">
        <v>44896</v>
      </c>
      <c r="F35" s="380" t="s">
        <v>353</v>
      </c>
      <c r="G35" s="380"/>
      <c r="H35" s="381"/>
    </row>
    <row r="36" spans="1:8" ht="15" customHeight="1">
      <c r="A36" s="160" t="s">
        <v>247</v>
      </c>
      <c r="B36" s="156">
        <v>31.42</v>
      </c>
      <c r="C36" s="156">
        <v>20.16</v>
      </c>
      <c r="D36" s="141" t="s">
        <v>198</v>
      </c>
      <c r="F36" s="380"/>
      <c r="G36" s="380"/>
      <c r="H36" s="381"/>
    </row>
    <row r="37" spans="1:8" ht="15" customHeight="1">
      <c r="A37" s="160" t="s">
        <v>248</v>
      </c>
      <c r="B37" s="156">
        <v>288.44</v>
      </c>
      <c r="C37" s="156">
        <v>31.04</v>
      </c>
      <c r="D37" s="141" t="s">
        <v>198</v>
      </c>
      <c r="F37" t="s">
        <v>352</v>
      </c>
      <c r="H37" s="188"/>
    </row>
    <row r="38" spans="1:8" ht="15" customHeight="1">
      <c r="A38" s="195" t="s">
        <v>321</v>
      </c>
      <c r="B38" s="156">
        <v>138.51</v>
      </c>
      <c r="C38" s="156"/>
      <c r="D38" s="141" t="s">
        <v>198</v>
      </c>
      <c r="E38">
        <f>8*4*1</f>
        <v>32</v>
      </c>
      <c r="F38" t="s">
        <v>354</v>
      </c>
      <c r="H38" s="188">
        <v>32</v>
      </c>
    </row>
    <row r="39" spans="1:8" ht="15" customHeight="1">
      <c r="A39" s="195" t="s">
        <v>327</v>
      </c>
      <c r="B39" s="156">
        <v>26.95</v>
      </c>
      <c r="C39" s="156"/>
      <c r="D39" s="141" t="s">
        <v>198</v>
      </c>
      <c r="F39" s="147"/>
      <c r="H39" s="188"/>
    </row>
    <row r="40" spans="1:8" ht="15" customHeight="1">
      <c r="A40" s="195" t="s">
        <v>281</v>
      </c>
      <c r="B40" s="156">
        <v>72.989999999999995</v>
      </c>
      <c r="C40" s="156"/>
      <c r="D40" s="141" t="s">
        <v>198</v>
      </c>
      <c r="F40" t="s">
        <v>368</v>
      </c>
      <c r="H40" s="248">
        <v>149.68</v>
      </c>
    </row>
    <row r="41" spans="1:8" ht="15" customHeight="1">
      <c r="A41" s="195" t="s">
        <v>330</v>
      </c>
      <c r="B41">
        <v>88.22</v>
      </c>
      <c r="C41" s="156"/>
      <c r="D41" s="141" t="s">
        <v>198</v>
      </c>
      <c r="G41" t="s">
        <v>369</v>
      </c>
      <c r="H41" s="249">
        <f>H40+H38</f>
        <v>181.68</v>
      </c>
    </row>
    <row r="42" spans="1:8" ht="15" customHeight="1">
      <c r="A42" s="195" t="s">
        <v>282</v>
      </c>
      <c r="B42" s="156">
        <v>67.13</v>
      </c>
      <c r="C42" s="156"/>
      <c r="D42" s="141" t="s">
        <v>198</v>
      </c>
      <c r="G42" s="147">
        <f>F33+H41</f>
        <v>3968.3172999999997</v>
      </c>
      <c r="H42" s="188"/>
    </row>
    <row r="43" spans="1:8" ht="15" customHeight="1">
      <c r="A43" s="195" t="s">
        <v>296</v>
      </c>
      <c r="B43" s="156">
        <v>275.46000000000004</v>
      </c>
      <c r="C43" s="156"/>
      <c r="D43" s="141" t="s">
        <v>198</v>
      </c>
      <c r="H43" s="188"/>
    </row>
    <row r="44" spans="1:8" ht="15" customHeight="1">
      <c r="A44" s="195" t="s">
        <v>302</v>
      </c>
      <c r="B44" s="156">
        <v>77.930000000000007</v>
      </c>
      <c r="C44" s="156"/>
      <c r="D44" s="141" t="s">
        <v>198</v>
      </c>
      <c r="H44" s="188"/>
    </row>
    <row r="45" spans="1:8" ht="15" customHeight="1">
      <c r="A45" s="195" t="s">
        <v>303</v>
      </c>
      <c r="B45" s="156">
        <v>45.11</v>
      </c>
      <c r="C45" s="156"/>
      <c r="D45" s="141" t="s">
        <v>198</v>
      </c>
      <c r="H45" s="188"/>
    </row>
    <row r="46" spans="1:8" ht="15" customHeight="1">
      <c r="A46" s="195" t="s">
        <v>319</v>
      </c>
      <c r="B46" s="156">
        <v>17.62</v>
      </c>
      <c r="C46" s="156"/>
      <c r="D46" s="141" t="s">
        <v>198</v>
      </c>
      <c r="H46" s="188"/>
    </row>
    <row r="47" spans="1:8">
      <c r="A47" s="195" t="s">
        <v>320</v>
      </c>
      <c r="B47" s="156">
        <f>[3]ÁREAS!$L$27</f>
        <v>107.19</v>
      </c>
      <c r="C47" s="156"/>
      <c r="D47" s="141" t="s">
        <v>198</v>
      </c>
      <c r="H47" s="188"/>
    </row>
    <row r="48" spans="1:8" ht="23.25">
      <c r="A48" s="195" t="s">
        <v>322</v>
      </c>
      <c r="B48" s="156">
        <v>97.5</v>
      </c>
      <c r="C48" s="156"/>
      <c r="D48" s="141" t="s">
        <v>198</v>
      </c>
      <c r="H48" s="43"/>
    </row>
    <row r="49" spans="1:8" ht="23.25">
      <c r="A49" s="195" t="s">
        <v>323</v>
      </c>
      <c r="B49" s="156">
        <v>21.13</v>
      </c>
      <c r="C49" s="156"/>
      <c r="D49" s="141" t="s">
        <v>198</v>
      </c>
      <c r="H49" s="43"/>
    </row>
    <row r="50" spans="1:8">
      <c r="A50" s="175" t="s">
        <v>9</v>
      </c>
      <c r="B50" s="335">
        <f>SUM(B23:B49)+SUM(C23:C49)</f>
        <v>3786.6372999999999</v>
      </c>
      <c r="C50" s="335"/>
      <c r="D50" s="176" t="s">
        <v>198</v>
      </c>
      <c r="H50" s="43"/>
    </row>
    <row r="51" spans="1:8" ht="15.75">
      <c r="D51" s="54"/>
      <c r="E51" s="35"/>
      <c r="F51" s="35"/>
      <c r="G51" s="28"/>
      <c r="H51" s="46"/>
    </row>
    <row r="52" spans="1:8" ht="15.75">
      <c r="A52" s="38"/>
      <c r="B52" s="54"/>
      <c r="C52" s="54"/>
      <c r="D52" s="54"/>
      <c r="E52" s="35"/>
      <c r="F52" s="35"/>
      <c r="G52" s="28"/>
      <c r="H52" s="46"/>
    </row>
    <row r="53" spans="1:8" ht="15.75">
      <c r="A53" s="38"/>
      <c r="B53" s="54"/>
      <c r="C53" s="54"/>
      <c r="D53" s="54"/>
      <c r="E53" s="35"/>
      <c r="F53" s="35"/>
      <c r="G53" s="28"/>
      <c r="H53" s="46"/>
    </row>
    <row r="54" spans="1:8" ht="15.75">
      <c r="A54" s="38"/>
      <c r="B54" s="54"/>
      <c r="C54" s="54"/>
      <c r="D54" s="54"/>
      <c r="E54" s="35"/>
      <c r="F54" s="35"/>
      <c r="G54" s="28"/>
      <c r="H54" s="46"/>
    </row>
    <row r="55" spans="1:8" ht="15.75">
      <c r="A55" s="38"/>
      <c r="B55" s="54"/>
      <c r="C55" s="54"/>
      <c r="D55" s="54"/>
      <c r="E55" s="35"/>
      <c r="F55" s="35"/>
      <c r="G55" s="28"/>
      <c r="H55" s="46"/>
    </row>
    <row r="56" spans="1:8" ht="15.75">
      <c r="A56" s="38"/>
      <c r="B56" s="54"/>
      <c r="C56" s="54"/>
      <c r="D56" s="54"/>
      <c r="E56" s="35"/>
      <c r="F56" s="35"/>
      <c r="G56" s="28"/>
      <c r="H56" s="46"/>
    </row>
    <row r="57" spans="1:8" ht="15.75">
      <c r="A57" s="38"/>
      <c r="B57" s="27"/>
      <c r="C57" s="53"/>
      <c r="D57" s="53"/>
      <c r="E57" s="53"/>
      <c r="F57" s="39"/>
      <c r="G57" s="47"/>
      <c r="H57" s="40"/>
    </row>
    <row r="58" spans="1:8" ht="15.75">
      <c r="A58" s="73" t="s">
        <v>122</v>
      </c>
      <c r="B58" s="74"/>
      <c r="C58" s="75"/>
      <c r="D58" s="76"/>
      <c r="E58" s="77"/>
      <c r="F58" s="75"/>
      <c r="G58" s="75"/>
      <c r="H58" s="78"/>
    </row>
    <row r="59" spans="1:8" ht="15" customHeight="1">
      <c r="A59" s="313" t="s">
        <v>181</v>
      </c>
      <c r="B59" s="314"/>
      <c r="C59" s="314"/>
      <c r="D59" s="314"/>
      <c r="E59" s="314"/>
      <c r="F59" s="314"/>
      <c r="G59" s="314"/>
      <c r="H59" s="315"/>
    </row>
    <row r="60" spans="1:8" ht="15.75">
      <c r="A60" s="48"/>
      <c r="B60" s="33"/>
      <c r="C60" s="49"/>
      <c r="D60" s="49"/>
      <c r="E60" s="49"/>
      <c r="F60" s="50"/>
      <c r="G60" s="51"/>
      <c r="H60" s="52"/>
    </row>
    <row r="61" spans="1:8">
      <c r="A61" s="27"/>
      <c r="B61" s="29"/>
      <c r="C61" s="30"/>
      <c r="D61" s="31"/>
      <c r="E61" s="32"/>
      <c r="F61" s="30"/>
      <c r="G61" s="30"/>
      <c r="H61" s="30"/>
    </row>
  </sheetData>
  <mergeCells count="13">
    <mergeCell ref="A59:H59"/>
    <mergeCell ref="C9:E9"/>
    <mergeCell ref="C10:D10"/>
    <mergeCell ref="A20:C20"/>
    <mergeCell ref="A21:C21"/>
    <mergeCell ref="B50:C50"/>
    <mergeCell ref="F35:H36"/>
    <mergeCell ref="B8:F8"/>
    <mergeCell ref="A2:H2"/>
    <mergeCell ref="A3:H3"/>
    <mergeCell ref="A4:H4"/>
    <mergeCell ref="B6:H6"/>
    <mergeCell ref="B7:H7"/>
  </mergeCells>
  <phoneticPr fontId="54" type="noConversion"/>
  <pageMargins left="0.51181102362204722" right="0.51181102362204722" top="0.78740157480314965" bottom="0.78740157480314965" header="0.31496062992125984" footer="0.31496062992125984"/>
  <pageSetup paperSize="9" scale="77"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J63"/>
  <sheetViews>
    <sheetView view="pageBreakPreview" topLeftCell="A16" zoomScaleSheetLayoutView="100" workbookViewId="0">
      <selection activeCell="H41" sqref="H41"/>
    </sheetView>
  </sheetViews>
  <sheetFormatPr defaultRowHeight="15"/>
  <cols>
    <col min="1" max="1" width="16.5703125" customWidth="1"/>
    <col min="2" max="2" width="25.5703125" customWidth="1"/>
    <col min="3" max="3" width="12.5703125" customWidth="1"/>
    <col min="4" max="4" width="9.28515625" bestFit="1" customWidth="1"/>
    <col min="5" max="5" width="7.85546875" customWidth="1"/>
    <col min="6" max="6" width="9.7109375" bestFit="1" customWidth="1"/>
    <col min="7" max="7" width="10.42578125" customWidth="1"/>
    <col min="8" max="8" width="9" bestFit="1" customWidth="1"/>
  </cols>
  <sheetData>
    <row r="1" spans="1:8" ht="10.5" customHeight="1">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ht="6" customHeight="1">
      <c r="A5" s="34"/>
      <c r="B5" s="35"/>
      <c r="C5" s="36"/>
      <c r="D5" s="36"/>
      <c r="E5" s="26"/>
      <c r="F5" s="36"/>
      <c r="G5" s="36"/>
      <c r="H5" s="37"/>
    </row>
    <row r="6" spans="1:8">
      <c r="A6" s="59">
        <v>2</v>
      </c>
      <c r="B6" s="326" t="s">
        <v>179</v>
      </c>
      <c r="C6" s="326"/>
      <c r="D6" s="326"/>
      <c r="E6" s="326"/>
      <c r="F6" s="326"/>
      <c r="G6" s="326"/>
      <c r="H6" s="327"/>
    </row>
    <row r="7" spans="1:8" ht="64.5" customHeight="1">
      <c r="A7" s="60">
        <v>202</v>
      </c>
      <c r="B7" s="363" t="s">
        <v>73</v>
      </c>
      <c r="C7" s="363"/>
      <c r="D7" s="363"/>
      <c r="E7" s="363"/>
      <c r="F7" s="363"/>
      <c r="G7" s="363"/>
      <c r="H7" s="364"/>
    </row>
    <row r="8" spans="1:8" ht="15.75" customHeight="1">
      <c r="A8" s="61"/>
      <c r="B8" s="330"/>
      <c r="C8" s="331"/>
      <c r="D8" s="331"/>
      <c r="E8" s="331"/>
      <c r="F8" s="331"/>
      <c r="G8" s="62" t="s">
        <v>124</v>
      </c>
      <c r="H8" s="82" t="s">
        <v>198</v>
      </c>
    </row>
    <row r="9" spans="1:8">
      <c r="A9" s="38"/>
      <c r="B9" s="27"/>
      <c r="C9" s="316"/>
      <c r="D9" s="316"/>
      <c r="E9" s="316"/>
      <c r="F9" s="39"/>
      <c r="G9" s="53"/>
      <c r="H9" s="40"/>
    </row>
    <row r="10" spans="1:8" ht="15.75">
      <c r="A10" s="41" t="s">
        <v>113</v>
      </c>
      <c r="B10" s="27"/>
      <c r="C10" s="340"/>
      <c r="D10" s="340"/>
      <c r="E10" s="53"/>
      <c r="F10" s="39"/>
      <c r="G10" s="53"/>
      <c r="H10" s="40"/>
    </row>
    <row r="11" spans="1:8" ht="15.75">
      <c r="A11" s="38"/>
      <c r="B11" s="65" t="s">
        <v>114</v>
      </c>
      <c r="C11" s="65" t="s">
        <v>44</v>
      </c>
      <c r="D11" s="65"/>
      <c r="E11" s="66"/>
      <c r="F11" s="66"/>
      <c r="G11" s="66" t="s">
        <v>9</v>
      </c>
      <c r="H11" s="40"/>
    </row>
    <row r="12" spans="1:8">
      <c r="A12" s="64"/>
      <c r="B12" s="67" t="s">
        <v>188</v>
      </c>
      <c r="C12" s="68"/>
      <c r="D12" s="83"/>
      <c r="E12" s="69"/>
      <c r="F12" s="70"/>
      <c r="G12" s="70">
        <f>H42</f>
        <v>181.68</v>
      </c>
      <c r="H12" s="40"/>
    </row>
    <row r="13" spans="1:8" ht="15.75">
      <c r="A13" s="38"/>
      <c r="B13" s="79" t="s">
        <v>9</v>
      </c>
      <c r="C13" s="80"/>
      <c r="D13" s="80"/>
      <c r="E13" s="80"/>
      <c r="F13" s="80"/>
      <c r="G13" s="81">
        <f>G12</f>
        <v>181.68</v>
      </c>
      <c r="H13" s="40"/>
    </row>
    <row r="14" spans="1:8">
      <c r="A14" s="38"/>
      <c r="B14" s="35"/>
      <c r="C14" s="35"/>
      <c r="D14" s="35"/>
      <c r="E14" s="35"/>
      <c r="F14" s="35"/>
      <c r="G14" s="35"/>
      <c r="H14" s="40"/>
    </row>
    <row r="15" spans="1:8" ht="15.75">
      <c r="A15" s="42"/>
      <c r="B15" s="71" t="s">
        <v>117</v>
      </c>
      <c r="C15" s="72">
        <f>'BM17'!D28</f>
        <v>4300</v>
      </c>
      <c r="D15" s="36"/>
      <c r="E15" s="35"/>
      <c r="F15" s="35"/>
      <c r="G15" s="35"/>
      <c r="H15" s="43"/>
    </row>
    <row r="16" spans="1:8" ht="31.5">
      <c r="A16" s="44"/>
      <c r="B16" s="71" t="s">
        <v>118</v>
      </c>
      <c r="C16" s="72">
        <f>G43</f>
        <v>3968.3172999999997</v>
      </c>
      <c r="D16" s="36"/>
      <c r="E16" s="35"/>
      <c r="F16" s="35"/>
      <c r="G16" s="35"/>
      <c r="H16" s="43"/>
    </row>
    <row r="17" spans="1:10" ht="15.75">
      <c r="A17" s="44"/>
      <c r="B17" s="71" t="s">
        <v>119</v>
      </c>
      <c r="C17" s="72">
        <f>C15-C16</f>
        <v>331.6827000000003</v>
      </c>
      <c r="D17" s="35"/>
      <c r="E17" s="35"/>
      <c r="F17" s="35"/>
      <c r="G17" s="35"/>
      <c r="H17" s="43"/>
    </row>
    <row r="18" spans="1:10" ht="31.5">
      <c r="A18" s="55"/>
      <c r="B18" s="71" t="s">
        <v>120</v>
      </c>
      <c r="C18" s="72"/>
      <c r="D18" s="35"/>
      <c r="E18" s="35"/>
      <c r="F18" s="35"/>
      <c r="G18" s="35"/>
      <c r="H18" s="43"/>
    </row>
    <row r="19" spans="1:10" ht="15.75">
      <c r="A19" s="55"/>
      <c r="B19" s="71" t="s">
        <v>121</v>
      </c>
      <c r="C19" s="72">
        <f>G13</f>
        <v>181.68</v>
      </c>
      <c r="D19" s="35"/>
      <c r="E19" s="35"/>
      <c r="F19" s="35"/>
      <c r="G19" s="35"/>
      <c r="H19" s="43"/>
    </row>
    <row r="20" spans="1:10" ht="15.75">
      <c r="A20" s="55"/>
      <c r="B20" s="135"/>
      <c r="C20" s="136"/>
      <c r="D20" s="35"/>
      <c r="E20" s="35"/>
      <c r="F20" s="35"/>
      <c r="G20" s="35"/>
      <c r="H20" s="43"/>
    </row>
    <row r="21" spans="1:10">
      <c r="A21" s="336" t="s">
        <v>339</v>
      </c>
      <c r="B21" s="337"/>
      <c r="C21" s="338"/>
      <c r="E21" s="35"/>
      <c r="F21" s="35"/>
      <c r="G21" s="35"/>
      <c r="H21" s="43"/>
    </row>
    <row r="22" spans="1:10">
      <c r="A22" s="336" t="s">
        <v>188</v>
      </c>
      <c r="B22" s="337"/>
      <c r="C22" s="338"/>
      <c r="H22" s="43"/>
    </row>
    <row r="23" spans="1:10">
      <c r="A23" s="138" t="s">
        <v>200</v>
      </c>
      <c r="B23" s="139" t="s">
        <v>175</v>
      </c>
      <c r="C23" s="139" t="s">
        <v>260</v>
      </c>
      <c r="D23" s="138" t="s">
        <v>201</v>
      </c>
      <c r="E23" s="174" t="s">
        <v>102</v>
      </c>
      <c r="F23" s="230" t="s">
        <v>211</v>
      </c>
      <c r="G23" s="141" t="s">
        <v>212</v>
      </c>
      <c r="H23" s="43"/>
    </row>
    <row r="24" spans="1:10">
      <c r="A24" s="160" t="s">
        <v>202</v>
      </c>
      <c r="B24" s="156">
        <v>91.417500000000004</v>
      </c>
      <c r="C24" s="156">
        <v>12.31</v>
      </c>
      <c r="D24" s="174" t="s">
        <v>198</v>
      </c>
      <c r="E24" s="146">
        <v>44501</v>
      </c>
      <c r="F24" s="140">
        <v>1074.92</v>
      </c>
      <c r="G24" s="140"/>
      <c r="H24" s="231"/>
      <c r="J24" t="s">
        <v>299</v>
      </c>
    </row>
    <row r="25" spans="1:10">
      <c r="A25" s="160" t="s">
        <v>203</v>
      </c>
      <c r="B25" s="156">
        <v>170.01200000000003</v>
      </c>
      <c r="C25" s="156">
        <v>22.98</v>
      </c>
      <c r="D25" s="174" t="s">
        <v>198</v>
      </c>
      <c r="E25" s="146">
        <v>44531</v>
      </c>
      <c r="F25" s="151">
        <v>1247.6699999999998</v>
      </c>
      <c r="G25" s="140">
        <f t="shared" ref="G25:G30" si="0">F25-F24</f>
        <v>172.74999999999977</v>
      </c>
      <c r="H25" s="232"/>
    </row>
    <row r="26" spans="1:10">
      <c r="A26" s="160" t="s">
        <v>204</v>
      </c>
      <c r="B26" s="156">
        <v>133.50800000000001</v>
      </c>
      <c r="C26" s="156">
        <v>14.22</v>
      </c>
      <c r="D26" s="174" t="s">
        <v>198</v>
      </c>
      <c r="E26" s="186">
        <v>44562</v>
      </c>
      <c r="F26" s="187">
        <v>1890.2673</v>
      </c>
      <c r="G26" s="187">
        <f t="shared" si="0"/>
        <v>642.59730000000013</v>
      </c>
      <c r="H26" s="232"/>
    </row>
    <row r="27" spans="1:10">
      <c r="A27" s="160" t="s">
        <v>205</v>
      </c>
      <c r="B27" s="156">
        <v>538.995</v>
      </c>
      <c r="C27" s="156">
        <v>66.98</v>
      </c>
      <c r="D27" s="174" t="s">
        <v>198</v>
      </c>
      <c r="E27" s="146">
        <v>44593</v>
      </c>
      <c r="F27" s="151">
        <v>2242.8572999999997</v>
      </c>
      <c r="G27" s="151">
        <f t="shared" si="0"/>
        <v>352.58999999999969</v>
      </c>
      <c r="H27" s="233"/>
    </row>
    <row r="28" spans="1:10">
      <c r="A28" s="160" t="s">
        <v>206</v>
      </c>
      <c r="B28" s="156">
        <v>133.50800000000001</v>
      </c>
      <c r="C28" s="156">
        <v>15.29</v>
      </c>
      <c r="D28" s="174" t="s">
        <v>198</v>
      </c>
      <c r="E28" s="146">
        <v>44621</v>
      </c>
      <c r="F28" s="151">
        <v>2676.3672999999999</v>
      </c>
      <c r="G28" s="151">
        <f t="shared" si="0"/>
        <v>433.51000000000022</v>
      </c>
      <c r="H28" s="234"/>
    </row>
    <row r="29" spans="1:10">
      <c r="A29" s="160" t="s">
        <v>207</v>
      </c>
      <c r="B29" s="156">
        <v>170.01200000000003</v>
      </c>
      <c r="C29" s="156">
        <v>15.49</v>
      </c>
      <c r="D29" s="141" t="s">
        <v>198</v>
      </c>
      <c r="E29" s="146">
        <v>44652</v>
      </c>
      <c r="F29" s="151">
        <v>3100.7832999999996</v>
      </c>
      <c r="G29" s="151">
        <f t="shared" si="0"/>
        <v>424.41599999999971</v>
      </c>
      <c r="H29" s="234"/>
    </row>
    <row r="30" spans="1:10">
      <c r="A30" s="160" t="s">
        <v>210</v>
      </c>
      <c r="B30" s="156">
        <v>91.417500000000004</v>
      </c>
      <c r="C30" s="156">
        <v>12.31</v>
      </c>
      <c r="D30" s="141" t="s">
        <v>198</v>
      </c>
      <c r="E30" s="146">
        <v>44682</v>
      </c>
      <c r="F30" s="151">
        <v>3338.1133</v>
      </c>
      <c r="G30" s="151">
        <f t="shared" si="0"/>
        <v>237.33000000000038</v>
      </c>
      <c r="H30" s="234"/>
    </row>
    <row r="31" spans="1:10" ht="15" customHeight="1">
      <c r="A31" s="160" t="s">
        <v>219</v>
      </c>
      <c r="B31" s="156">
        <v>150.52000000000001</v>
      </c>
      <c r="C31" s="156">
        <v>26.5</v>
      </c>
      <c r="D31" s="141" t="s">
        <v>198</v>
      </c>
      <c r="E31" s="146">
        <v>44713</v>
      </c>
      <c r="F31" s="151">
        <v>3351.7132999999994</v>
      </c>
      <c r="G31" s="151">
        <f>F31-F30</f>
        <v>13.599999999999454</v>
      </c>
      <c r="H31" s="234"/>
    </row>
    <row r="32" spans="1:10" ht="15" customHeight="1">
      <c r="A32" s="160" t="s">
        <v>220</v>
      </c>
      <c r="B32" s="156">
        <v>73.378500000000003</v>
      </c>
      <c r="C32" s="156">
        <v>6.54</v>
      </c>
      <c r="D32" s="141" t="s">
        <v>198</v>
      </c>
      <c r="E32" s="146">
        <v>44774</v>
      </c>
      <c r="F32" s="151">
        <v>3628.8108000000002</v>
      </c>
      <c r="G32" s="151">
        <f>F32-F31</f>
        <v>277.09750000000076</v>
      </c>
      <c r="H32" s="234"/>
    </row>
    <row r="33" spans="1:8" ht="15" customHeight="1">
      <c r="A33" s="160" t="s">
        <v>221</v>
      </c>
      <c r="B33" s="156">
        <v>31.42</v>
      </c>
      <c r="C33" s="156">
        <v>20.16</v>
      </c>
      <c r="D33" s="141" t="s">
        <v>198</v>
      </c>
      <c r="E33" s="146">
        <v>44805</v>
      </c>
      <c r="F33" s="151">
        <v>3698.4173000000001</v>
      </c>
      <c r="G33" s="151">
        <f>F33-F32</f>
        <v>69.606499999999869</v>
      </c>
      <c r="H33" s="234"/>
    </row>
    <row r="34" spans="1:8" ht="15" customHeight="1">
      <c r="A34" s="160" t="s">
        <v>222</v>
      </c>
      <c r="B34" s="156">
        <v>292.00880000000001</v>
      </c>
      <c r="C34" s="156">
        <v>42.81</v>
      </c>
      <c r="D34" s="141" t="s">
        <v>198</v>
      </c>
      <c r="E34" s="146">
        <v>44835</v>
      </c>
      <c r="F34" s="151">
        <f>B51</f>
        <v>3786.6372999999999</v>
      </c>
      <c r="G34" s="151">
        <f>F34-F33</f>
        <v>88.2199999999998</v>
      </c>
      <c r="H34" s="188"/>
    </row>
    <row r="35" spans="1:8" ht="15" customHeight="1">
      <c r="A35" s="160" t="s">
        <v>223</v>
      </c>
      <c r="B35" s="156">
        <v>162.81</v>
      </c>
      <c r="C35" s="156">
        <v>5.33</v>
      </c>
      <c r="D35" s="141" t="s">
        <v>198</v>
      </c>
      <c r="H35" s="188"/>
    </row>
    <row r="36" spans="1:8" ht="15" customHeight="1">
      <c r="A36" s="160" t="s">
        <v>246</v>
      </c>
      <c r="B36" s="156">
        <v>77.38</v>
      </c>
      <c r="C36" s="156">
        <v>2.5299999999999998</v>
      </c>
      <c r="D36" s="141" t="s">
        <v>198</v>
      </c>
      <c r="E36" s="236">
        <v>44896</v>
      </c>
      <c r="F36" s="380" t="s">
        <v>353</v>
      </c>
      <c r="G36" s="380"/>
      <c r="H36" s="381"/>
    </row>
    <row r="37" spans="1:8" ht="15" customHeight="1">
      <c r="A37" s="160" t="s">
        <v>247</v>
      </c>
      <c r="B37" s="156">
        <v>31.42</v>
      </c>
      <c r="C37" s="156">
        <v>20.16</v>
      </c>
      <c r="D37" s="141" t="s">
        <v>198</v>
      </c>
      <c r="F37" s="380"/>
      <c r="G37" s="380"/>
      <c r="H37" s="381"/>
    </row>
    <row r="38" spans="1:8" ht="15" customHeight="1">
      <c r="A38" s="160" t="s">
        <v>248</v>
      </c>
      <c r="B38" s="156">
        <v>288.44</v>
      </c>
      <c r="C38" s="156">
        <v>31.04</v>
      </c>
      <c r="D38" s="141" t="s">
        <v>198</v>
      </c>
      <c r="F38" t="s">
        <v>352</v>
      </c>
      <c r="H38" s="188"/>
    </row>
    <row r="39" spans="1:8" ht="15" customHeight="1">
      <c r="A39" s="195" t="s">
        <v>321</v>
      </c>
      <c r="B39" s="156">
        <v>138.51</v>
      </c>
      <c r="C39" s="156"/>
      <c r="D39" s="141" t="s">
        <v>198</v>
      </c>
      <c r="E39">
        <f>8*4*1</f>
        <v>32</v>
      </c>
      <c r="F39" t="s">
        <v>354</v>
      </c>
      <c r="H39" s="188">
        <v>32</v>
      </c>
    </row>
    <row r="40" spans="1:8" ht="15" customHeight="1">
      <c r="A40" s="195" t="s">
        <v>327</v>
      </c>
      <c r="B40" s="156">
        <v>26.95</v>
      </c>
      <c r="C40" s="156"/>
      <c r="D40" s="141" t="s">
        <v>198</v>
      </c>
      <c r="F40" s="147"/>
      <c r="H40" s="188"/>
    </row>
    <row r="41" spans="1:8" ht="15" customHeight="1">
      <c r="A41" s="195" t="s">
        <v>281</v>
      </c>
      <c r="B41" s="156">
        <v>72.989999999999995</v>
      </c>
      <c r="C41" s="156"/>
      <c r="D41" s="141" t="s">
        <v>198</v>
      </c>
      <c r="F41" t="s">
        <v>368</v>
      </c>
      <c r="H41" s="248">
        <v>149.68</v>
      </c>
    </row>
    <row r="42" spans="1:8" ht="15" customHeight="1">
      <c r="A42" s="195" t="s">
        <v>330</v>
      </c>
      <c r="B42" s="156">
        <v>88.22</v>
      </c>
      <c r="C42" s="156"/>
      <c r="D42" s="141" t="s">
        <v>198</v>
      </c>
      <c r="G42" t="s">
        <v>369</v>
      </c>
      <c r="H42" s="249">
        <f>H41+H39</f>
        <v>181.68</v>
      </c>
    </row>
    <row r="43" spans="1:8" ht="15" customHeight="1">
      <c r="A43" s="195" t="s">
        <v>282</v>
      </c>
      <c r="B43" s="156">
        <v>67.13</v>
      </c>
      <c r="C43" s="156"/>
      <c r="D43" s="141" t="s">
        <v>198</v>
      </c>
      <c r="G43" s="147">
        <f>F34+H42</f>
        <v>3968.3172999999997</v>
      </c>
      <c r="H43" s="188"/>
    </row>
    <row r="44" spans="1:8" ht="15" customHeight="1">
      <c r="A44" s="195" t="s">
        <v>296</v>
      </c>
      <c r="B44" s="156">
        <v>275.46000000000004</v>
      </c>
      <c r="C44" s="156"/>
      <c r="D44" s="141" t="s">
        <v>198</v>
      </c>
      <c r="H44" s="188"/>
    </row>
    <row r="45" spans="1:8" ht="15" customHeight="1">
      <c r="A45" s="195" t="s">
        <v>302</v>
      </c>
      <c r="B45" s="156">
        <v>77.930000000000007</v>
      </c>
      <c r="C45" s="156"/>
      <c r="D45" s="141" t="s">
        <v>198</v>
      </c>
      <c r="H45" s="188"/>
    </row>
    <row r="46" spans="1:8">
      <c r="A46" s="195" t="s">
        <v>303</v>
      </c>
      <c r="B46" s="156">
        <v>45.11</v>
      </c>
      <c r="C46" s="156"/>
      <c r="D46" s="141" t="s">
        <v>198</v>
      </c>
      <c r="H46" s="188"/>
    </row>
    <row r="47" spans="1:8">
      <c r="A47" s="195" t="s">
        <v>319</v>
      </c>
      <c r="B47" s="156">
        <v>17.62</v>
      </c>
      <c r="C47" s="156"/>
      <c r="D47" s="141" t="s">
        <v>198</v>
      </c>
      <c r="H47" s="188"/>
    </row>
    <row r="48" spans="1:8">
      <c r="A48" s="195" t="s">
        <v>320</v>
      </c>
      <c r="B48" s="156">
        <f>[3]ÁREAS!$L$27</f>
        <v>107.19</v>
      </c>
      <c r="C48" s="156"/>
      <c r="D48" s="141" t="s">
        <v>198</v>
      </c>
      <c r="H48" s="188"/>
    </row>
    <row r="49" spans="1:8">
      <c r="A49" s="195" t="s">
        <v>322</v>
      </c>
      <c r="B49" s="156">
        <v>97.5</v>
      </c>
      <c r="C49" s="156"/>
      <c r="D49" s="141" t="s">
        <v>198</v>
      </c>
      <c r="H49" s="43"/>
    </row>
    <row r="50" spans="1:8">
      <c r="A50" s="195" t="s">
        <v>323</v>
      </c>
      <c r="B50" s="156">
        <v>21.13</v>
      </c>
      <c r="C50" s="156"/>
      <c r="D50" s="141" t="s">
        <v>198</v>
      </c>
      <c r="H50" s="43"/>
    </row>
    <row r="51" spans="1:8">
      <c r="A51" s="175" t="s">
        <v>9</v>
      </c>
      <c r="B51" s="335">
        <f>SUM(B24:B50)+SUM(C24:C50)</f>
        <v>3786.6372999999999</v>
      </c>
      <c r="C51" s="335"/>
      <c r="D51" s="176" t="s">
        <v>198</v>
      </c>
      <c r="H51" s="43"/>
    </row>
    <row r="52" spans="1:8" ht="15.75">
      <c r="A52" s="55"/>
      <c r="B52" s="135"/>
      <c r="C52" s="136"/>
      <c r="D52" s="35"/>
      <c r="E52" s="35"/>
      <c r="F52" s="35"/>
      <c r="G52" s="35"/>
      <c r="H52" s="43"/>
    </row>
    <row r="53" spans="1:8" ht="15.75">
      <c r="A53" s="55"/>
      <c r="B53" s="135"/>
      <c r="C53" s="136"/>
      <c r="D53" s="35"/>
      <c r="E53" s="35"/>
      <c r="F53" s="35"/>
      <c r="G53" s="35"/>
      <c r="H53" s="43"/>
    </row>
    <row r="54" spans="1:8" ht="15.75">
      <c r="A54" s="55"/>
      <c r="B54" s="135"/>
      <c r="C54" s="136"/>
      <c r="D54" s="35"/>
      <c r="E54" s="35"/>
      <c r="F54" s="35"/>
      <c r="G54" s="35"/>
      <c r="H54" s="43"/>
    </row>
    <row r="55" spans="1:8" ht="15.75">
      <c r="A55" s="38"/>
      <c r="B55" s="54"/>
      <c r="C55" s="54"/>
      <c r="D55" s="54"/>
      <c r="E55" s="35"/>
      <c r="F55" s="35"/>
      <c r="G55" s="28"/>
      <c r="H55" s="46"/>
    </row>
    <row r="56" spans="1:8" ht="15.75">
      <c r="A56" s="38"/>
      <c r="B56" s="54"/>
      <c r="C56" s="54"/>
      <c r="D56" s="54"/>
      <c r="E56" s="35"/>
      <c r="F56" s="35"/>
      <c r="G56" s="28"/>
      <c r="H56" s="46"/>
    </row>
    <row r="57" spans="1:8" ht="15.75">
      <c r="A57" s="38"/>
      <c r="B57" s="54"/>
      <c r="C57" s="54"/>
      <c r="D57" s="54"/>
      <c r="E57" s="35"/>
      <c r="F57" s="35"/>
      <c r="G57" s="28"/>
      <c r="H57" s="46"/>
    </row>
    <row r="58" spans="1:8" ht="15.75">
      <c r="A58" s="38"/>
      <c r="B58" s="54"/>
      <c r="C58" s="54"/>
      <c r="D58" s="54"/>
      <c r="E58" s="35"/>
      <c r="F58" s="35"/>
      <c r="G58" s="28"/>
      <c r="H58" s="46"/>
    </row>
    <row r="59" spans="1:8" ht="15.75">
      <c r="A59" s="38"/>
      <c r="B59" s="27"/>
      <c r="C59" s="53"/>
      <c r="D59" s="53"/>
      <c r="E59" s="53"/>
      <c r="F59" s="39"/>
      <c r="G59" s="47"/>
      <c r="H59" s="40"/>
    </row>
    <row r="60" spans="1:8" ht="15.75">
      <c r="A60" s="73" t="s">
        <v>122</v>
      </c>
      <c r="B60" s="74"/>
      <c r="C60" s="75"/>
      <c r="D60" s="76"/>
      <c r="E60" s="77"/>
      <c r="F60" s="75"/>
      <c r="G60" s="75"/>
      <c r="H60" s="78"/>
    </row>
    <row r="61" spans="1:8" ht="15" customHeight="1">
      <c r="A61" s="313" t="s">
        <v>181</v>
      </c>
      <c r="B61" s="314"/>
      <c r="C61" s="314"/>
      <c r="D61" s="314"/>
      <c r="E61" s="314"/>
      <c r="F61" s="314"/>
      <c r="G61" s="314"/>
      <c r="H61" s="315"/>
    </row>
    <row r="62" spans="1:8" ht="15.75">
      <c r="A62" s="48"/>
      <c r="B62" s="33"/>
      <c r="C62" s="49"/>
      <c r="D62" s="49"/>
      <c r="E62" s="49"/>
      <c r="F62" s="50"/>
      <c r="G62" s="51"/>
      <c r="H62" s="52"/>
    </row>
    <row r="63" spans="1:8">
      <c r="A63" s="27"/>
      <c r="B63" s="29"/>
      <c r="C63" s="30"/>
      <c r="D63" s="31"/>
      <c r="E63" s="32"/>
      <c r="F63" s="30"/>
      <c r="G63" s="30"/>
      <c r="H63" s="30"/>
    </row>
  </sheetData>
  <mergeCells count="13">
    <mergeCell ref="C9:E9"/>
    <mergeCell ref="C10:D10"/>
    <mergeCell ref="A61:H61"/>
    <mergeCell ref="A2:H2"/>
    <mergeCell ref="A3:H3"/>
    <mergeCell ref="A4:H4"/>
    <mergeCell ref="B6:H6"/>
    <mergeCell ref="B7:H7"/>
    <mergeCell ref="B8:F8"/>
    <mergeCell ref="A21:C21"/>
    <mergeCell ref="A22:C22"/>
    <mergeCell ref="B51:C51"/>
    <mergeCell ref="F36:H37"/>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J55"/>
  <sheetViews>
    <sheetView view="pageBreakPreview" topLeftCell="A13" zoomScaleSheetLayoutView="100" workbookViewId="0">
      <selection activeCell="G12" sqref="G12"/>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11.42578125" bestFit="1" customWidth="1"/>
    <col min="7" max="7" width="10.42578125" customWidth="1"/>
    <col min="8" max="8" width="9" bestFit="1" customWidth="1"/>
  </cols>
  <sheetData>
    <row r="1" spans="1:8" ht="20.25">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c r="A5" s="34"/>
      <c r="B5" s="35"/>
      <c r="C5" s="36"/>
      <c r="D5" s="36"/>
      <c r="E5" s="26"/>
      <c r="F5" s="36"/>
      <c r="G5" s="36"/>
      <c r="H5" s="37"/>
    </row>
    <row r="6" spans="1:8">
      <c r="A6" s="59">
        <v>2</v>
      </c>
      <c r="B6" s="326" t="s">
        <v>179</v>
      </c>
      <c r="C6" s="326"/>
      <c r="D6" s="326"/>
      <c r="E6" s="326"/>
      <c r="F6" s="326"/>
      <c r="G6" s="326"/>
      <c r="H6" s="327"/>
    </row>
    <row r="7" spans="1:8" ht="40.5" customHeight="1">
      <c r="A7" s="60">
        <v>203</v>
      </c>
      <c r="B7" s="212" t="s">
        <v>190</v>
      </c>
      <c r="C7" s="212"/>
      <c r="D7" s="212"/>
      <c r="E7" s="212"/>
      <c r="F7" s="212"/>
      <c r="G7" s="212"/>
      <c r="H7" s="213"/>
    </row>
    <row r="8" spans="1:8" ht="15.75" customHeight="1">
      <c r="A8" s="61"/>
      <c r="B8" s="330"/>
      <c r="C8" s="331"/>
      <c r="D8" s="331"/>
      <c r="E8" s="331"/>
      <c r="F8" s="331"/>
      <c r="G8" s="62" t="s">
        <v>124</v>
      </c>
      <c r="H8" s="82" t="s">
        <v>5</v>
      </c>
    </row>
    <row r="9" spans="1:8">
      <c r="A9" s="38"/>
      <c r="B9" s="27"/>
      <c r="C9" s="316"/>
      <c r="D9" s="316"/>
      <c r="E9" s="316"/>
      <c r="F9" s="39"/>
      <c r="G9" s="53"/>
      <c r="H9" s="40"/>
    </row>
    <row r="10" spans="1:8">
      <c r="B10" s="194" t="s">
        <v>113</v>
      </c>
      <c r="C10" s="340" t="s">
        <v>278</v>
      </c>
      <c r="D10" s="340"/>
      <c r="E10" s="53"/>
      <c r="F10" s="39"/>
      <c r="G10" s="53"/>
      <c r="H10" s="40"/>
    </row>
    <row r="11" spans="1:8" ht="15.75">
      <c r="A11" s="38"/>
      <c r="B11" s="65" t="s">
        <v>114</v>
      </c>
      <c r="C11" s="65" t="s">
        <v>44</v>
      </c>
      <c r="D11" s="65"/>
      <c r="E11" s="66"/>
      <c r="F11" s="66"/>
      <c r="G11" s="66" t="s">
        <v>9</v>
      </c>
      <c r="H11" s="40"/>
    </row>
    <row r="12" spans="1:8">
      <c r="A12" s="64"/>
      <c r="B12" s="67" t="s">
        <v>189</v>
      </c>
      <c r="C12" s="68"/>
      <c r="D12" s="83"/>
      <c r="E12" s="69"/>
      <c r="F12" s="70"/>
      <c r="G12" s="70"/>
      <c r="H12" s="40"/>
    </row>
    <row r="13" spans="1:8" ht="15.75">
      <c r="A13" s="38"/>
      <c r="B13" s="79" t="s">
        <v>9</v>
      </c>
      <c r="C13" s="80"/>
      <c r="D13" s="80"/>
      <c r="E13" s="80"/>
      <c r="F13" s="80"/>
      <c r="G13" s="81">
        <f>G12</f>
        <v>0</v>
      </c>
      <c r="H13" s="40"/>
    </row>
    <row r="14" spans="1:8">
      <c r="A14" s="38"/>
      <c r="B14" s="35"/>
      <c r="C14" s="35"/>
      <c r="D14" s="35"/>
      <c r="E14" s="35"/>
      <c r="F14" s="35"/>
      <c r="G14" s="35"/>
      <c r="H14" s="40"/>
    </row>
    <row r="15" spans="1:8" ht="15.75">
      <c r="A15" s="42"/>
      <c r="B15" s="71" t="s">
        <v>117</v>
      </c>
      <c r="C15" s="72">
        <v>950</v>
      </c>
      <c r="D15" s="35"/>
      <c r="E15" s="35"/>
      <c r="F15" s="35"/>
      <c r="G15" s="35"/>
      <c r="H15" s="43"/>
    </row>
    <row r="16" spans="1:8" ht="15.75">
      <c r="A16" s="44"/>
      <c r="B16" s="71" t="s">
        <v>118</v>
      </c>
      <c r="C16" s="72">
        <f>937+9.91+3.09</f>
        <v>950</v>
      </c>
      <c r="D16" s="35"/>
      <c r="E16" s="35"/>
      <c r="F16" s="215" t="s">
        <v>265</v>
      </c>
      <c r="G16" s="202"/>
      <c r="H16" s="43"/>
    </row>
    <row r="17" spans="1:10" ht="15.75">
      <c r="A17" s="44"/>
      <c r="B17" s="71" t="s">
        <v>119</v>
      </c>
      <c r="C17" s="72">
        <f>C15-C16</f>
        <v>0</v>
      </c>
      <c r="D17" s="35"/>
      <c r="E17" s="35"/>
      <c r="F17" s="211" t="s">
        <v>157</v>
      </c>
      <c r="G17" s="202">
        <v>258.3</v>
      </c>
      <c r="H17" s="43"/>
    </row>
    <row r="18" spans="1:10" ht="15.75">
      <c r="A18" s="55"/>
      <c r="B18" s="71" t="s">
        <v>120</v>
      </c>
      <c r="C18" s="72"/>
      <c r="D18" s="35"/>
      <c r="E18" s="35"/>
      <c r="F18" s="214" t="s">
        <v>266</v>
      </c>
      <c r="G18" s="202">
        <v>574.91</v>
      </c>
      <c r="H18" s="43"/>
    </row>
    <row r="19" spans="1:10" ht="15.75">
      <c r="A19" s="55"/>
      <c r="B19" s="71" t="s">
        <v>121</v>
      </c>
      <c r="C19" s="72">
        <f>G13</f>
        <v>0</v>
      </c>
      <c r="D19" s="35"/>
      <c r="E19" s="35"/>
      <c r="F19" s="217" t="s">
        <v>280</v>
      </c>
      <c r="G19" s="151">
        <v>663.28</v>
      </c>
      <c r="H19" s="43"/>
    </row>
    <row r="20" spans="1:10">
      <c r="A20" s="55"/>
      <c r="B20" s="134"/>
      <c r="C20" s="172"/>
      <c r="D20" s="35"/>
      <c r="E20" s="35"/>
      <c r="F20" s="217" t="s">
        <v>305</v>
      </c>
      <c r="G20" s="151">
        <v>788.76</v>
      </c>
      <c r="H20" s="43"/>
    </row>
    <row r="21" spans="1:10">
      <c r="A21" s="383" t="s">
        <v>261</v>
      </c>
      <c r="B21" s="383"/>
      <c r="C21" s="383"/>
      <c r="D21" s="383"/>
      <c r="E21" s="35"/>
      <c r="F21" s="215" t="s">
        <v>313</v>
      </c>
      <c r="G21" s="216">
        <f>D30+D42+D50+G26</f>
        <v>937</v>
      </c>
      <c r="H21" s="43"/>
    </row>
    <row r="22" spans="1:10">
      <c r="A22" s="138" t="s">
        <v>262</v>
      </c>
      <c r="B22" s="384" t="s">
        <v>263</v>
      </c>
      <c r="C22" s="384"/>
      <c r="D22" s="138" t="s">
        <v>264</v>
      </c>
      <c r="E22" s="35"/>
      <c r="F22" s="215" t="s">
        <v>328</v>
      </c>
      <c r="G22" s="216">
        <v>950</v>
      </c>
      <c r="H22" s="43"/>
    </row>
    <row r="23" spans="1:10">
      <c r="A23" s="189">
        <v>2.25</v>
      </c>
      <c r="B23" s="189">
        <v>2</v>
      </c>
      <c r="C23" s="189">
        <v>15</v>
      </c>
      <c r="D23" s="189">
        <f>A23*B23*C23</f>
        <v>67.5</v>
      </c>
      <c r="E23" s="35"/>
      <c r="H23" s="43"/>
    </row>
    <row r="24" spans="1:10">
      <c r="A24" s="189">
        <v>4.4000000000000004</v>
      </c>
      <c r="B24" s="189">
        <v>1</v>
      </c>
      <c r="C24" s="189">
        <v>2</v>
      </c>
      <c r="D24" s="189">
        <f t="shared" ref="D24:D29" si="0">A24*B24*C24</f>
        <v>8.8000000000000007</v>
      </c>
      <c r="E24" s="35"/>
      <c r="H24" s="43"/>
      <c r="J24" t="s">
        <v>299</v>
      </c>
    </row>
    <row r="25" spans="1:10">
      <c r="A25" s="189">
        <v>2.6</v>
      </c>
      <c r="B25" s="189">
        <v>2</v>
      </c>
      <c r="C25" s="189">
        <f>17*2</f>
        <v>34</v>
      </c>
      <c r="D25" s="189">
        <f t="shared" si="0"/>
        <v>176.8</v>
      </c>
      <c r="E25" s="35"/>
      <c r="H25" s="43"/>
    </row>
    <row r="26" spans="1:10">
      <c r="A26" s="189">
        <v>4.8499999999999996</v>
      </c>
      <c r="B26" s="189">
        <v>2</v>
      </c>
      <c r="C26" s="189">
        <v>16</v>
      </c>
      <c r="D26" s="189">
        <f t="shared" si="0"/>
        <v>155.19999999999999</v>
      </c>
      <c r="E26" s="35"/>
      <c r="F26" t="s">
        <v>306</v>
      </c>
      <c r="G26">
        <v>3.39</v>
      </c>
      <c r="H26" s="43"/>
    </row>
    <row r="27" spans="1:10">
      <c r="A27" s="189">
        <v>6.15</v>
      </c>
      <c r="B27" s="189">
        <v>1</v>
      </c>
      <c r="C27" s="189">
        <v>2</v>
      </c>
      <c r="D27" s="189">
        <f t="shared" si="0"/>
        <v>12.3</v>
      </c>
      <c r="E27" s="35"/>
      <c r="F27" t="s">
        <v>317</v>
      </c>
      <c r="G27">
        <v>9.91</v>
      </c>
      <c r="H27" s="43"/>
    </row>
    <row r="28" spans="1:10">
      <c r="A28" s="189">
        <v>3.09</v>
      </c>
      <c r="B28" s="189">
        <v>1</v>
      </c>
      <c r="C28" s="189">
        <v>13</v>
      </c>
      <c r="D28" s="189">
        <f t="shared" si="0"/>
        <v>40.17</v>
      </c>
      <c r="E28" s="35"/>
      <c r="F28" s="35"/>
      <c r="G28" s="35"/>
      <c r="H28" s="43"/>
    </row>
    <row r="29" spans="1:10">
      <c r="A29" s="189">
        <v>1.0900000000000001</v>
      </c>
      <c r="B29" s="189">
        <v>1</v>
      </c>
      <c r="C29" s="189">
        <v>13</v>
      </c>
      <c r="D29" s="189">
        <f t="shared" si="0"/>
        <v>14.170000000000002</v>
      </c>
      <c r="E29" s="35"/>
      <c r="F29" s="35"/>
      <c r="G29" s="35"/>
      <c r="H29" s="43"/>
    </row>
    <row r="30" spans="1:10">
      <c r="A30" s="382" t="s">
        <v>9</v>
      </c>
      <c r="B30" s="382"/>
      <c r="C30" s="382"/>
      <c r="D30" s="191">
        <f>SUM(D23:D29)</f>
        <v>474.94000000000005</v>
      </c>
      <c r="E30" s="35"/>
      <c r="F30" s="35"/>
      <c r="G30" s="35"/>
      <c r="H30" s="43"/>
    </row>
    <row r="31" spans="1:10">
      <c r="E31" s="35"/>
      <c r="F31" s="35"/>
      <c r="G31" s="35"/>
      <c r="H31" s="43"/>
    </row>
    <row r="32" spans="1:10">
      <c r="A32" s="383" t="s">
        <v>232</v>
      </c>
      <c r="B32" s="383"/>
      <c r="C32" s="383"/>
      <c r="D32" s="383"/>
      <c r="E32" s="35"/>
      <c r="F32" s="35"/>
      <c r="G32" s="36"/>
      <c r="H32" s="43"/>
    </row>
    <row r="33" spans="1:8">
      <c r="A33" s="138" t="s">
        <v>262</v>
      </c>
      <c r="B33" s="384" t="s">
        <v>263</v>
      </c>
      <c r="C33" s="384"/>
      <c r="D33" s="138" t="s">
        <v>264</v>
      </c>
      <c r="E33" s="35"/>
      <c r="F33" s="35"/>
      <c r="G33" s="35"/>
      <c r="H33" s="43"/>
    </row>
    <row r="34" spans="1:8">
      <c r="A34" s="189">
        <v>3.1</v>
      </c>
      <c r="B34" s="189">
        <v>1</v>
      </c>
      <c r="C34" s="189">
        <v>1</v>
      </c>
      <c r="D34" s="189">
        <f>A34*B34*C34</f>
        <v>3.1</v>
      </c>
      <c r="E34" s="35"/>
      <c r="F34" s="35"/>
      <c r="G34" s="35"/>
      <c r="H34" s="43"/>
    </row>
    <row r="35" spans="1:8">
      <c r="A35" s="189">
        <v>3.65</v>
      </c>
      <c r="B35" s="189">
        <v>1</v>
      </c>
      <c r="C35" s="189">
        <v>1</v>
      </c>
      <c r="D35" s="189">
        <v>3.65</v>
      </c>
      <c r="E35" s="35"/>
      <c r="F35" s="35"/>
      <c r="G35" s="35"/>
      <c r="H35" s="43"/>
    </row>
    <row r="36" spans="1:8">
      <c r="A36" s="189">
        <v>15.53</v>
      </c>
      <c r="B36" s="189">
        <v>1</v>
      </c>
      <c r="C36" s="189">
        <v>1</v>
      </c>
      <c r="D36" s="189">
        <f t="shared" ref="D36:D41" si="1">A36*B36*C36</f>
        <v>15.53</v>
      </c>
      <c r="E36" s="35"/>
      <c r="F36" s="35"/>
      <c r="G36" s="35"/>
      <c r="H36" s="43"/>
    </row>
    <row r="37" spans="1:8">
      <c r="A37" s="189">
        <v>6.3</v>
      </c>
      <c r="B37" s="189">
        <v>1</v>
      </c>
      <c r="C37" s="189">
        <v>12</v>
      </c>
      <c r="D37" s="189">
        <f t="shared" si="1"/>
        <v>75.599999999999994</v>
      </c>
      <c r="E37" s="35"/>
      <c r="F37" s="35"/>
      <c r="G37" s="35"/>
      <c r="H37" s="43"/>
    </row>
    <row r="38" spans="1:8">
      <c r="A38" s="189">
        <v>7.8</v>
      </c>
      <c r="B38" s="189">
        <v>1</v>
      </c>
      <c r="C38" s="189">
        <v>12</v>
      </c>
      <c r="D38" s="189">
        <f t="shared" si="1"/>
        <v>93.6</v>
      </c>
      <c r="E38" s="35"/>
      <c r="F38" s="35"/>
      <c r="G38" s="35"/>
      <c r="H38" s="43"/>
    </row>
    <row r="39" spans="1:8">
      <c r="A39" s="140">
        <v>39.68</v>
      </c>
      <c r="B39" s="189">
        <v>1</v>
      </c>
      <c r="C39" s="189">
        <v>1</v>
      </c>
      <c r="D39" s="189">
        <f t="shared" si="1"/>
        <v>39.68</v>
      </c>
      <c r="E39" s="35"/>
      <c r="F39" s="35"/>
      <c r="G39" s="35"/>
      <c r="H39" s="43"/>
    </row>
    <row r="40" spans="1:8" hidden="1">
      <c r="A40" s="140"/>
      <c r="B40" s="140"/>
      <c r="C40" s="140"/>
      <c r="D40" s="189">
        <f t="shared" si="1"/>
        <v>0</v>
      </c>
      <c r="E40" s="35"/>
      <c r="F40" s="35"/>
      <c r="G40" s="35"/>
      <c r="H40" s="43"/>
    </row>
    <row r="41" spans="1:8" hidden="1">
      <c r="A41" s="140"/>
      <c r="B41" s="140"/>
      <c r="C41" s="140"/>
      <c r="D41" s="189">
        <f t="shared" si="1"/>
        <v>0</v>
      </c>
      <c r="E41" s="35"/>
      <c r="F41" s="35"/>
      <c r="G41" s="35"/>
      <c r="H41" s="43"/>
    </row>
    <row r="42" spans="1:8" ht="15.75">
      <c r="A42" s="382" t="s">
        <v>9</v>
      </c>
      <c r="B42" s="382"/>
      <c r="C42" s="382"/>
      <c r="D42" s="191">
        <f>SUM(D34:D41)</f>
        <v>231.16</v>
      </c>
      <c r="E42" s="35"/>
      <c r="F42" s="35"/>
      <c r="G42" s="28"/>
      <c r="H42" s="46"/>
    </row>
    <row r="43" spans="1:8" ht="15.75">
      <c r="A43" s="383" t="s">
        <v>279</v>
      </c>
      <c r="B43" s="384"/>
      <c r="C43" s="383"/>
      <c r="D43" s="383"/>
      <c r="E43" s="35"/>
      <c r="F43" s="35"/>
      <c r="G43" s="28"/>
      <c r="H43" s="46"/>
    </row>
    <row r="44" spans="1:8" ht="15.75">
      <c r="A44" s="138" t="s">
        <v>262</v>
      </c>
      <c r="B44" s="384" t="s">
        <v>263</v>
      </c>
      <c r="C44" s="384"/>
      <c r="D44" s="138" t="s">
        <v>264</v>
      </c>
      <c r="E44" s="35"/>
      <c r="F44" s="35"/>
      <c r="G44" s="28"/>
      <c r="H44" s="46"/>
    </row>
    <row r="45" spans="1:8" ht="15.75">
      <c r="A45" s="189">
        <v>3.1</v>
      </c>
      <c r="B45" s="224">
        <v>1</v>
      </c>
      <c r="C45" s="189">
        <v>1</v>
      </c>
      <c r="D45" s="189">
        <f>A45*B45*C45</f>
        <v>3.1</v>
      </c>
      <c r="E45" s="35"/>
      <c r="F45" s="35"/>
      <c r="G45" s="28"/>
      <c r="H45" s="46"/>
    </row>
    <row r="46" spans="1:8" ht="15.75">
      <c r="A46" s="189">
        <v>15.53</v>
      </c>
      <c r="B46" s="224">
        <v>1</v>
      </c>
      <c r="C46" s="189">
        <v>1</v>
      </c>
      <c r="D46" s="189">
        <f t="shared" ref="D46:D49" si="2">A46*B46*C46</f>
        <v>15.53</v>
      </c>
      <c r="E46" s="35"/>
      <c r="F46" s="35"/>
      <c r="G46" s="28"/>
      <c r="H46" s="46"/>
    </row>
    <row r="47" spans="1:8" ht="15.75">
      <c r="A47" s="189">
        <v>6.3</v>
      </c>
      <c r="B47" s="224">
        <v>1</v>
      </c>
      <c r="C47" s="189">
        <v>12</v>
      </c>
      <c r="D47" s="189">
        <f t="shared" si="2"/>
        <v>75.599999999999994</v>
      </c>
      <c r="E47" s="35"/>
      <c r="F47" s="35"/>
      <c r="G47" s="28"/>
      <c r="H47" s="46"/>
    </row>
    <row r="48" spans="1:8" ht="15.75">
      <c r="A48" s="189">
        <v>7.8</v>
      </c>
      <c r="B48" s="224">
        <v>1</v>
      </c>
      <c r="C48" s="189">
        <v>12</v>
      </c>
      <c r="D48" s="189">
        <f t="shared" si="2"/>
        <v>93.6</v>
      </c>
      <c r="E48" s="35"/>
      <c r="F48" s="35"/>
      <c r="G48" s="28"/>
      <c r="H48" s="46"/>
    </row>
    <row r="49" spans="1:8" ht="15.75">
      <c r="A49" s="140">
        <v>39.68</v>
      </c>
      <c r="B49" s="224">
        <v>1</v>
      </c>
      <c r="C49" s="189">
        <v>1</v>
      </c>
      <c r="D49" s="189">
        <f t="shared" si="2"/>
        <v>39.68</v>
      </c>
      <c r="E49" s="35"/>
      <c r="F49" s="35"/>
      <c r="G49" s="28"/>
      <c r="H49" s="46"/>
    </row>
    <row r="50" spans="1:8" ht="15.75">
      <c r="A50" s="382" t="s">
        <v>9</v>
      </c>
      <c r="B50" s="382"/>
      <c r="C50" s="382"/>
      <c r="D50" s="191">
        <f>SUM(D45:D49)</f>
        <v>227.51</v>
      </c>
      <c r="E50" s="35"/>
      <c r="F50" s="35"/>
      <c r="G50" s="28"/>
      <c r="H50" s="46"/>
    </row>
    <row r="51" spans="1:8" ht="15.75">
      <c r="A51" s="38"/>
      <c r="B51" s="27"/>
      <c r="C51" s="53"/>
      <c r="D51" s="53"/>
      <c r="E51" s="53"/>
      <c r="F51" s="39"/>
      <c r="G51" s="47"/>
      <c r="H51" s="40"/>
    </row>
    <row r="52" spans="1:8" ht="15.75">
      <c r="A52" s="73" t="s">
        <v>122</v>
      </c>
      <c r="B52" s="74"/>
      <c r="C52" s="75"/>
      <c r="D52" s="76"/>
      <c r="E52" s="77"/>
      <c r="F52" s="75"/>
      <c r="G52" s="75"/>
      <c r="H52" s="78"/>
    </row>
    <row r="53" spans="1:8" ht="15" customHeight="1">
      <c r="A53" s="313" t="s">
        <v>191</v>
      </c>
      <c r="B53" s="314"/>
      <c r="C53" s="314"/>
      <c r="D53" s="314"/>
      <c r="E53" s="314"/>
      <c r="F53" s="314"/>
      <c r="G53" s="314"/>
      <c r="H53" s="315"/>
    </row>
    <row r="54" spans="1:8" ht="15.75">
      <c r="A54" s="48"/>
      <c r="B54" s="33"/>
      <c r="C54" s="49"/>
      <c r="D54" s="49"/>
      <c r="E54" s="49"/>
      <c r="F54" s="50"/>
      <c r="G54" s="51"/>
      <c r="H54" s="52"/>
    </row>
    <row r="55" spans="1:8">
      <c r="A55" s="27"/>
      <c r="B55" s="29"/>
      <c r="C55" s="30"/>
      <c r="D55" s="31"/>
      <c r="E55" s="32"/>
      <c r="F55" s="30"/>
      <c r="G55" s="30"/>
      <c r="H55" s="30"/>
    </row>
  </sheetData>
  <mergeCells count="17">
    <mergeCell ref="A50:C50"/>
    <mergeCell ref="A2:H2"/>
    <mergeCell ref="A3:H3"/>
    <mergeCell ref="A4:H4"/>
    <mergeCell ref="B6:H6"/>
    <mergeCell ref="A53:H53"/>
    <mergeCell ref="A42:C42"/>
    <mergeCell ref="B8:F8"/>
    <mergeCell ref="C9:E9"/>
    <mergeCell ref="C10:D10"/>
    <mergeCell ref="A21:D21"/>
    <mergeCell ref="B22:C22"/>
    <mergeCell ref="A30:C30"/>
    <mergeCell ref="A32:D32"/>
    <mergeCell ref="B33:C33"/>
    <mergeCell ref="A43:D43"/>
    <mergeCell ref="B44:C44"/>
  </mergeCells>
  <phoneticPr fontId="54" type="noConversion"/>
  <pageMargins left="0.51181102362204722" right="0.51181102362204722" top="0.78740157480314965" bottom="0.78740157480314965" header="0.31496062992125984" footer="0.31496062992125984"/>
  <pageSetup paperSize="9" scale="86" orientation="portrait"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H60"/>
  <sheetViews>
    <sheetView view="pageBreakPreview" topLeftCell="A10" zoomScaleSheetLayoutView="100" workbookViewId="0">
      <selection activeCell="H41" sqref="H41"/>
    </sheetView>
  </sheetViews>
  <sheetFormatPr defaultRowHeight="15"/>
  <cols>
    <col min="1" max="1" width="12.28515625" customWidth="1"/>
    <col min="2" max="2" width="29.140625" customWidth="1"/>
    <col min="3" max="3" width="12.5703125" customWidth="1"/>
    <col min="4" max="4" width="14" customWidth="1"/>
    <col min="5" max="5" width="8.42578125" customWidth="1"/>
    <col min="6" max="6" width="9.7109375" bestFit="1" customWidth="1"/>
    <col min="7" max="7" width="10.42578125" customWidth="1"/>
    <col min="8" max="8" width="9.5703125" bestFit="1" customWidth="1"/>
  </cols>
  <sheetData>
    <row r="1" spans="1:8" ht="16.5" customHeight="1">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c r="A5" s="34"/>
      <c r="B5" s="35"/>
      <c r="C5" s="36"/>
      <c r="D5" s="36"/>
      <c r="E5" s="26"/>
      <c r="F5" s="36"/>
      <c r="G5" s="36"/>
      <c r="H5" s="37"/>
    </row>
    <row r="6" spans="1:8" ht="54" customHeight="1">
      <c r="A6" s="60">
        <v>204</v>
      </c>
      <c r="B6" s="388" t="s">
        <v>74</v>
      </c>
      <c r="C6" s="388"/>
      <c r="D6" s="388"/>
      <c r="E6" s="388"/>
      <c r="F6" s="388"/>
      <c r="G6" s="388"/>
      <c r="H6" s="389"/>
    </row>
    <row r="7" spans="1:8" ht="15.75" customHeight="1">
      <c r="A7" s="61"/>
      <c r="B7" s="330"/>
      <c r="C7" s="331"/>
      <c r="D7" s="331"/>
      <c r="E7" s="331"/>
      <c r="F7" s="331"/>
      <c r="G7" s="62" t="s">
        <v>124</v>
      </c>
      <c r="H7" s="82" t="s">
        <v>198</v>
      </c>
    </row>
    <row r="8" spans="1:8">
      <c r="A8" s="38"/>
      <c r="B8" s="27"/>
      <c r="C8" s="316"/>
      <c r="D8" s="316"/>
      <c r="E8" s="316"/>
      <c r="F8" s="39"/>
      <c r="G8" s="53"/>
      <c r="H8" s="40"/>
    </row>
    <row r="9" spans="1:8" ht="15.75">
      <c r="A9" s="41"/>
      <c r="B9" s="27" t="s">
        <v>113</v>
      </c>
      <c r="C9" s="340" t="s">
        <v>307</v>
      </c>
      <c r="D9" s="340"/>
      <c r="E9" s="53"/>
      <c r="F9" s="39"/>
      <c r="G9" s="53"/>
      <c r="H9" s="40"/>
    </row>
    <row r="10" spans="1:8" ht="15.75">
      <c r="A10" s="38"/>
      <c r="B10" s="65" t="s">
        <v>114</v>
      </c>
      <c r="C10" s="65" t="s">
        <v>44</v>
      </c>
      <c r="D10" s="65"/>
      <c r="E10" s="66"/>
      <c r="F10" s="66"/>
      <c r="G10" s="66" t="s">
        <v>9</v>
      </c>
      <c r="H10" s="40"/>
    </row>
    <row r="11" spans="1:8">
      <c r="A11" s="64"/>
      <c r="B11" s="152" t="s">
        <v>214</v>
      </c>
      <c r="C11" s="68"/>
      <c r="D11" s="83"/>
      <c r="E11" s="69"/>
      <c r="F11" s="70"/>
      <c r="G11" s="70">
        <f>H42</f>
        <v>181.68</v>
      </c>
      <c r="H11" s="40"/>
    </row>
    <row r="12" spans="1:8" ht="15.75">
      <c r="A12" s="38"/>
      <c r="B12" s="79" t="s">
        <v>9</v>
      </c>
      <c r="C12" s="80"/>
      <c r="D12" s="80"/>
      <c r="E12" s="80"/>
      <c r="F12" s="80"/>
      <c r="G12" s="81">
        <f>G11</f>
        <v>181.68</v>
      </c>
      <c r="H12" s="40"/>
    </row>
    <row r="13" spans="1:8">
      <c r="A13" s="38"/>
      <c r="B13" s="35"/>
      <c r="C13" s="35"/>
      <c r="D13" s="35"/>
      <c r="E13" s="35"/>
      <c r="F13" s="35"/>
      <c r="G13" s="35"/>
      <c r="H13" s="40"/>
    </row>
    <row r="14" spans="1:8" ht="15.75">
      <c r="A14" s="42"/>
      <c r="B14" s="71" t="s">
        <v>117</v>
      </c>
      <c r="C14" s="72">
        <v>4150</v>
      </c>
      <c r="D14" s="36"/>
      <c r="E14" s="35"/>
      <c r="F14" s="35"/>
      <c r="G14" s="35"/>
      <c r="H14" s="43"/>
    </row>
    <row r="15" spans="1:8" ht="15.75">
      <c r="A15" s="44"/>
      <c r="B15" s="71" t="s">
        <v>118</v>
      </c>
      <c r="C15" s="72">
        <f>G43</f>
        <v>3968.3172999999997</v>
      </c>
      <c r="D15" s="35"/>
      <c r="E15" s="35"/>
      <c r="F15" s="35"/>
      <c r="G15" s="35"/>
      <c r="H15" s="43"/>
    </row>
    <row r="16" spans="1:8" ht="15.75">
      <c r="A16" s="44"/>
      <c r="B16" s="71" t="s">
        <v>119</v>
      </c>
      <c r="C16" s="72">
        <f>C14-C15</f>
        <v>181.6827000000003</v>
      </c>
      <c r="D16" s="35"/>
      <c r="E16" s="35"/>
      <c r="F16" s="35"/>
      <c r="G16" s="35"/>
      <c r="H16" s="43"/>
    </row>
    <row r="17" spans="1:8" ht="15.75">
      <c r="A17" s="55"/>
      <c r="B17" s="71" t="s">
        <v>120</v>
      </c>
      <c r="C17" s="72"/>
      <c r="D17" s="35"/>
      <c r="E17" s="35"/>
      <c r="F17" s="35"/>
      <c r="G17" s="35"/>
      <c r="H17" s="43"/>
    </row>
    <row r="18" spans="1:8" ht="15.75">
      <c r="A18" s="55"/>
      <c r="B18" s="71" t="s">
        <v>121</v>
      </c>
      <c r="C18" s="72">
        <f>G11</f>
        <v>181.68</v>
      </c>
      <c r="D18" s="35"/>
      <c r="E18" s="35"/>
      <c r="F18" s="35"/>
      <c r="G18" s="35"/>
      <c r="H18" s="43"/>
    </row>
    <row r="19" spans="1:8" ht="3" customHeight="1">
      <c r="H19" s="43"/>
    </row>
    <row r="20" spans="1:8">
      <c r="B20" s="336" t="s">
        <v>339</v>
      </c>
      <c r="C20" s="337"/>
      <c r="D20" s="338"/>
      <c r="H20" s="43"/>
    </row>
    <row r="21" spans="1:8">
      <c r="B21" s="336" t="s">
        <v>214</v>
      </c>
      <c r="C21" s="337"/>
      <c r="D21" s="338"/>
      <c r="H21" s="43"/>
    </row>
    <row r="22" spans="1:8">
      <c r="B22" s="138" t="s">
        <v>200</v>
      </c>
      <c r="C22" s="139" t="s">
        <v>175</v>
      </c>
      <c r="D22" s="139" t="s">
        <v>260</v>
      </c>
      <c r="E22" s="138" t="s">
        <v>201</v>
      </c>
      <c r="F22" s="174" t="s">
        <v>102</v>
      </c>
      <c r="G22" s="211" t="s">
        <v>211</v>
      </c>
      <c r="H22" s="141" t="s">
        <v>212</v>
      </c>
    </row>
    <row r="23" spans="1:8">
      <c r="B23" s="160" t="s">
        <v>202</v>
      </c>
      <c r="C23" s="156">
        <v>91.417500000000004</v>
      </c>
      <c r="D23" s="156">
        <v>12.31</v>
      </c>
      <c r="E23" s="174" t="s">
        <v>198</v>
      </c>
      <c r="F23" s="146">
        <v>44501</v>
      </c>
      <c r="G23" s="189">
        <v>534.9</v>
      </c>
      <c r="H23" s="140"/>
    </row>
    <row r="24" spans="1:8">
      <c r="B24" s="160" t="s">
        <v>203</v>
      </c>
      <c r="C24" s="156">
        <v>170.01200000000003</v>
      </c>
      <c r="D24" s="156">
        <v>22.98</v>
      </c>
      <c r="E24" s="174" t="s">
        <v>198</v>
      </c>
      <c r="F24" s="146">
        <v>44531</v>
      </c>
      <c r="G24" s="151">
        <v>903.65</v>
      </c>
      <c r="H24" s="140"/>
    </row>
    <row r="25" spans="1:8">
      <c r="B25" s="160" t="s">
        <v>204</v>
      </c>
      <c r="C25" s="156">
        <v>133.50800000000001</v>
      </c>
      <c r="D25" s="156">
        <v>14.22</v>
      </c>
      <c r="E25" s="174" t="s">
        <v>198</v>
      </c>
      <c r="F25" s="186">
        <v>44562</v>
      </c>
      <c r="G25" s="187">
        <v>1328.87</v>
      </c>
      <c r="H25" s="187"/>
    </row>
    <row r="26" spans="1:8">
      <c r="B26" s="160" t="s">
        <v>205</v>
      </c>
      <c r="C26" s="156">
        <v>538.995</v>
      </c>
      <c r="D26" s="156">
        <v>66.98</v>
      </c>
      <c r="E26" s="174" t="s">
        <v>198</v>
      </c>
      <c r="F26" s="146">
        <v>44593</v>
      </c>
      <c r="G26" s="151">
        <v>1669.26</v>
      </c>
      <c r="H26" s="151"/>
    </row>
    <row r="27" spans="1:8" ht="15" customHeight="1">
      <c r="B27" s="160" t="s">
        <v>206</v>
      </c>
      <c r="C27" s="156">
        <v>133.50800000000001</v>
      </c>
      <c r="D27" s="156">
        <v>15.29</v>
      </c>
      <c r="E27" s="174" t="s">
        <v>198</v>
      </c>
      <c r="F27" s="146">
        <v>44621</v>
      </c>
      <c r="G27" s="151">
        <v>2217.5300000000002</v>
      </c>
      <c r="H27" s="151"/>
    </row>
    <row r="28" spans="1:8" ht="15" customHeight="1">
      <c r="B28" s="160" t="s">
        <v>207</v>
      </c>
      <c r="C28" s="156">
        <v>170.01200000000003</v>
      </c>
      <c r="D28" s="156">
        <v>15.49</v>
      </c>
      <c r="E28" s="141" t="s">
        <v>198</v>
      </c>
      <c r="F28" s="146">
        <v>44652</v>
      </c>
      <c r="G28" s="151">
        <v>2540.4699999999998</v>
      </c>
      <c r="H28" s="151"/>
    </row>
    <row r="29" spans="1:8" ht="15" customHeight="1">
      <c r="B29" s="160" t="s">
        <v>210</v>
      </c>
      <c r="C29" s="156">
        <v>91.417500000000004</v>
      </c>
      <c r="D29" s="156">
        <v>12.31</v>
      </c>
      <c r="E29" s="141" t="s">
        <v>198</v>
      </c>
      <c r="F29" s="146">
        <v>44682</v>
      </c>
      <c r="G29" s="151">
        <v>3009.9402999999993</v>
      </c>
      <c r="H29" s="151"/>
    </row>
    <row r="30" spans="1:8">
      <c r="B30" s="160" t="s">
        <v>219</v>
      </c>
      <c r="C30" s="156">
        <v>150.52000000000001</v>
      </c>
      <c r="D30" s="156">
        <v>26.5</v>
      </c>
      <c r="E30" s="141" t="s">
        <v>198</v>
      </c>
      <c r="F30" s="146">
        <v>44713</v>
      </c>
      <c r="G30" s="151">
        <v>3141.0802999999992</v>
      </c>
      <c r="H30" s="151"/>
    </row>
    <row r="31" spans="1:8">
      <c r="B31" s="160" t="s">
        <v>220</v>
      </c>
      <c r="C31" s="156">
        <v>73.378500000000003</v>
      </c>
      <c r="D31" s="156">
        <v>6.54</v>
      </c>
      <c r="E31" s="141" t="s">
        <v>198</v>
      </c>
      <c r="F31" s="146">
        <v>44743</v>
      </c>
      <c r="G31" s="151">
        <v>3286.0702999999999</v>
      </c>
      <c r="H31" s="140"/>
    </row>
    <row r="32" spans="1:8">
      <c r="B32" s="160" t="s">
        <v>221</v>
      </c>
      <c r="C32" s="156">
        <v>31.42</v>
      </c>
      <c r="D32" s="156">
        <v>20.16</v>
      </c>
      <c r="E32" s="141" t="s">
        <v>198</v>
      </c>
      <c r="F32" s="146">
        <v>44774</v>
      </c>
      <c r="G32" s="151">
        <v>3510.3132999999998</v>
      </c>
      <c r="H32" s="151"/>
    </row>
    <row r="33" spans="1:8">
      <c r="B33" s="160" t="s">
        <v>222</v>
      </c>
      <c r="C33" s="156">
        <v>292.00880000000001</v>
      </c>
      <c r="D33" s="156">
        <v>42.81</v>
      </c>
      <c r="E33" s="141" t="s">
        <v>198</v>
      </c>
      <c r="F33" s="146">
        <v>44805</v>
      </c>
      <c r="G33" s="151">
        <v>3692.5173000000004</v>
      </c>
      <c r="H33" s="151"/>
    </row>
    <row r="34" spans="1:8">
      <c r="B34" s="160" t="s">
        <v>223</v>
      </c>
      <c r="C34" s="156">
        <v>162.81</v>
      </c>
      <c r="D34" s="156">
        <v>5.33</v>
      </c>
      <c r="E34" s="141" t="s">
        <v>198</v>
      </c>
      <c r="F34" s="146">
        <v>44835</v>
      </c>
      <c r="G34" s="151">
        <f>C50</f>
        <v>3786.6372999999999</v>
      </c>
      <c r="H34" s="151">
        <f>G34-G33</f>
        <v>94.119999999999436</v>
      </c>
    </row>
    <row r="35" spans="1:8">
      <c r="B35" s="160" t="s">
        <v>246</v>
      </c>
      <c r="C35" s="156">
        <v>77.38</v>
      </c>
      <c r="D35" s="156">
        <v>2.5299999999999998</v>
      </c>
      <c r="E35" s="141" t="s">
        <v>198</v>
      </c>
      <c r="F35" s="236">
        <v>44896</v>
      </c>
      <c r="H35" s="188"/>
    </row>
    <row r="36" spans="1:8" ht="15" customHeight="1">
      <c r="B36" s="160" t="s">
        <v>247</v>
      </c>
      <c r="C36" s="156">
        <v>31.42</v>
      </c>
      <c r="D36" s="156">
        <v>20.16</v>
      </c>
      <c r="E36" s="141" t="s">
        <v>198</v>
      </c>
      <c r="F36" s="380" t="s">
        <v>353</v>
      </c>
      <c r="G36" s="380"/>
      <c r="H36" s="381"/>
    </row>
    <row r="37" spans="1:8">
      <c r="B37" s="160" t="s">
        <v>248</v>
      </c>
      <c r="C37" s="156">
        <v>288.44</v>
      </c>
      <c r="D37" s="156">
        <v>31.04</v>
      </c>
      <c r="E37" s="141" t="s">
        <v>198</v>
      </c>
      <c r="F37" s="380"/>
      <c r="G37" s="380"/>
      <c r="H37" s="381"/>
    </row>
    <row r="38" spans="1:8">
      <c r="B38" s="195" t="s">
        <v>321</v>
      </c>
      <c r="C38" s="156">
        <v>138.51</v>
      </c>
      <c r="D38" s="156"/>
      <c r="E38" s="141" t="s">
        <v>198</v>
      </c>
      <c r="F38" t="s">
        <v>352</v>
      </c>
      <c r="H38" s="188"/>
    </row>
    <row r="39" spans="1:8">
      <c r="B39" s="195" t="s">
        <v>327</v>
      </c>
      <c r="C39" s="156">
        <v>26.95</v>
      </c>
      <c r="D39" s="156"/>
      <c r="E39" s="141" t="s">
        <v>198</v>
      </c>
      <c r="F39" t="s">
        <v>354</v>
      </c>
      <c r="H39" s="248">
        <v>32</v>
      </c>
    </row>
    <row r="40" spans="1:8">
      <c r="B40" s="195" t="s">
        <v>281</v>
      </c>
      <c r="C40" s="156">
        <v>72.989999999999995</v>
      </c>
      <c r="D40" s="156"/>
      <c r="E40" s="141" t="s">
        <v>198</v>
      </c>
      <c r="F40" s="147"/>
      <c r="H40" s="188"/>
    </row>
    <row r="41" spans="1:8">
      <c r="B41" s="195" t="s">
        <v>330</v>
      </c>
      <c r="C41" s="156">
        <v>88.22</v>
      </c>
      <c r="D41" s="156"/>
      <c r="E41" s="141" t="s">
        <v>198</v>
      </c>
      <c r="F41" t="s">
        <v>368</v>
      </c>
      <c r="H41" s="248">
        <v>149.68</v>
      </c>
    </row>
    <row r="42" spans="1:8">
      <c r="B42" s="195" t="s">
        <v>282</v>
      </c>
      <c r="C42" s="156">
        <v>67.13</v>
      </c>
      <c r="D42" s="156"/>
      <c r="E42" s="141" t="s">
        <v>198</v>
      </c>
      <c r="G42" t="s">
        <v>369</v>
      </c>
      <c r="H42" s="249">
        <f>H41+H39</f>
        <v>181.68</v>
      </c>
    </row>
    <row r="43" spans="1:8" ht="15.75" customHeight="1">
      <c r="A43" s="55"/>
      <c r="B43" s="195" t="s">
        <v>296</v>
      </c>
      <c r="C43" s="156">
        <v>275.46000000000004</v>
      </c>
      <c r="D43" s="156"/>
      <c r="E43" s="141" t="s">
        <v>198</v>
      </c>
      <c r="G43" s="147">
        <f>G34+H42</f>
        <v>3968.3172999999997</v>
      </c>
      <c r="H43" s="188"/>
    </row>
    <row r="44" spans="1:8" ht="15.75" customHeight="1">
      <c r="A44" s="55"/>
      <c r="B44" s="195" t="s">
        <v>302</v>
      </c>
      <c r="C44" s="156">
        <v>77.930000000000007</v>
      </c>
      <c r="D44" s="156"/>
      <c r="E44" s="141" t="s">
        <v>198</v>
      </c>
      <c r="H44" s="188"/>
    </row>
    <row r="45" spans="1:8">
      <c r="A45" s="55"/>
      <c r="B45" s="195" t="s">
        <v>303</v>
      </c>
      <c r="C45" s="156">
        <v>45.11</v>
      </c>
      <c r="D45" s="156"/>
      <c r="E45" s="141" t="s">
        <v>198</v>
      </c>
      <c r="H45" s="188"/>
    </row>
    <row r="46" spans="1:8">
      <c r="A46" s="55"/>
      <c r="B46" s="195" t="s">
        <v>319</v>
      </c>
      <c r="C46" s="156">
        <v>17.62</v>
      </c>
      <c r="D46" s="156"/>
      <c r="E46" s="141" t="s">
        <v>198</v>
      </c>
      <c r="H46" s="188"/>
    </row>
    <row r="47" spans="1:8">
      <c r="A47" s="55"/>
      <c r="B47" s="195" t="s">
        <v>320</v>
      </c>
      <c r="C47" s="156">
        <v>107.19</v>
      </c>
      <c r="D47" s="156"/>
      <c r="E47" s="141" t="s">
        <v>198</v>
      </c>
      <c r="H47" s="188"/>
    </row>
    <row r="48" spans="1:8">
      <c r="A48" s="55"/>
      <c r="B48" s="195" t="s">
        <v>322</v>
      </c>
      <c r="C48" s="156">
        <v>97.5</v>
      </c>
      <c r="D48" s="156"/>
      <c r="E48" s="141" t="s">
        <v>198</v>
      </c>
      <c r="H48" s="188"/>
    </row>
    <row r="49" spans="1:8">
      <c r="A49" s="55"/>
      <c r="B49" s="195" t="s">
        <v>323</v>
      </c>
      <c r="C49" s="156">
        <v>21.13</v>
      </c>
      <c r="D49" s="156"/>
      <c r="E49" s="141" t="s">
        <v>198</v>
      </c>
      <c r="F49" s="35"/>
      <c r="G49" s="35"/>
      <c r="H49" s="43"/>
    </row>
    <row r="50" spans="1:8" ht="15.75">
      <c r="A50" s="38"/>
      <c r="B50" s="175" t="s">
        <v>9</v>
      </c>
      <c r="C50" s="335">
        <f>SUM(C23:C49)+SUM(D23:D49)</f>
        <v>3786.6372999999999</v>
      </c>
      <c r="D50" s="335"/>
      <c r="E50" s="176" t="s">
        <v>198</v>
      </c>
      <c r="F50" s="35"/>
      <c r="G50" s="28"/>
      <c r="H50" s="46"/>
    </row>
    <row r="51" spans="1:8" ht="15.75">
      <c r="A51" s="38"/>
      <c r="B51" s="54"/>
      <c r="C51" s="54"/>
      <c r="D51" s="54"/>
      <c r="E51" s="35"/>
      <c r="F51" s="35"/>
      <c r="G51" s="28"/>
      <c r="H51" s="46"/>
    </row>
    <row r="52" spans="1:8" ht="15.75">
      <c r="A52" s="38"/>
      <c r="B52" s="54"/>
      <c r="C52" s="54"/>
      <c r="D52" s="54"/>
      <c r="E52" s="35"/>
      <c r="F52" s="35"/>
      <c r="G52" s="28"/>
      <c r="H52" s="46"/>
    </row>
    <row r="53" spans="1:8" ht="15.75">
      <c r="A53" s="38"/>
      <c r="B53" s="54"/>
      <c r="C53" s="54"/>
      <c r="D53" s="54"/>
      <c r="E53" s="35"/>
      <c r="F53" s="35"/>
      <c r="G53" s="28"/>
      <c r="H53" s="46"/>
    </row>
    <row r="54" spans="1:8" ht="15.75">
      <c r="A54" s="38"/>
      <c r="B54" s="54"/>
      <c r="C54" s="54"/>
      <c r="D54" s="54"/>
      <c r="E54" s="35"/>
      <c r="F54" s="35"/>
      <c r="G54" s="28"/>
      <c r="H54" s="46"/>
    </row>
    <row r="55" spans="1:8" ht="27.75" customHeight="1">
      <c r="A55" s="38"/>
      <c r="B55" s="54"/>
      <c r="C55" s="54"/>
      <c r="D55" s="54"/>
      <c r="E55" s="35"/>
      <c r="F55" s="35"/>
      <c r="G55" s="28"/>
      <c r="H55" s="46"/>
    </row>
    <row r="56" spans="1:8" ht="15.75">
      <c r="A56" s="38"/>
      <c r="B56" s="27"/>
      <c r="C56" s="53"/>
      <c r="D56" s="53"/>
      <c r="E56" s="53"/>
      <c r="F56" s="39"/>
      <c r="G56" s="47"/>
      <c r="H56" s="40"/>
    </row>
    <row r="57" spans="1:8" ht="15.75">
      <c r="A57" s="73" t="s">
        <v>122</v>
      </c>
      <c r="B57" s="74"/>
      <c r="C57" s="75"/>
      <c r="D57" s="76"/>
      <c r="E57" s="77"/>
      <c r="F57" s="75"/>
      <c r="G57" s="75"/>
      <c r="H57" s="78"/>
    </row>
    <row r="58" spans="1:8" ht="15" customHeight="1">
      <c r="A58" s="385" t="s">
        <v>191</v>
      </c>
      <c r="B58" s="386"/>
      <c r="C58" s="386"/>
      <c r="D58" s="386"/>
      <c r="E58" s="386"/>
      <c r="F58" s="386"/>
      <c r="G58" s="386"/>
      <c r="H58" s="387"/>
    </row>
    <row r="59" spans="1:8" ht="15.75">
      <c r="A59" s="48"/>
      <c r="B59" s="33"/>
      <c r="C59" s="49"/>
      <c r="D59" s="49"/>
      <c r="E59" s="49"/>
      <c r="F59" s="50"/>
      <c r="G59" s="51"/>
      <c r="H59" s="52"/>
    </row>
    <row r="60" spans="1:8">
      <c r="A60" s="27"/>
      <c r="B60" s="29"/>
      <c r="C60" s="30"/>
      <c r="D60" s="31"/>
      <c r="E60" s="32"/>
      <c r="F60" s="30"/>
      <c r="G60" s="30"/>
      <c r="H60" s="30"/>
    </row>
  </sheetData>
  <mergeCells count="12">
    <mergeCell ref="C8:E8"/>
    <mergeCell ref="C9:D9"/>
    <mergeCell ref="A58:H58"/>
    <mergeCell ref="A2:H2"/>
    <mergeCell ref="A3:H3"/>
    <mergeCell ref="A4:H4"/>
    <mergeCell ref="B6:H6"/>
    <mergeCell ref="B7:F7"/>
    <mergeCell ref="B20:D20"/>
    <mergeCell ref="B21:D21"/>
    <mergeCell ref="C50:D50"/>
    <mergeCell ref="F36:H37"/>
  </mergeCells>
  <phoneticPr fontId="54" type="noConversion"/>
  <pageMargins left="0.51181102362204722" right="0.51181102362204722" top="0.78740157480314965" bottom="0.78740157480314965" header="0.31496062992125984" footer="0.31496062992125984"/>
  <pageSetup paperSize="9" scale="78" orientation="portrait"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A1:H65"/>
  <sheetViews>
    <sheetView view="pageBreakPreview" topLeftCell="A13" zoomScaleSheetLayoutView="100" workbookViewId="0">
      <selection activeCell="H42" sqref="H42"/>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10.85546875" customWidth="1"/>
  </cols>
  <sheetData>
    <row r="1" spans="1:8" ht="14.25" customHeight="1">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ht="3" customHeight="1">
      <c r="A5" s="34"/>
      <c r="B5" s="35"/>
      <c r="C5" s="36"/>
      <c r="D5" s="36"/>
      <c r="E5" s="26"/>
      <c r="F5" s="36"/>
      <c r="G5" s="36"/>
      <c r="H5" s="37"/>
    </row>
    <row r="6" spans="1:8">
      <c r="A6" s="59">
        <v>2</v>
      </c>
      <c r="B6" s="326" t="s">
        <v>179</v>
      </c>
      <c r="C6" s="326"/>
      <c r="D6" s="326"/>
      <c r="E6" s="326"/>
      <c r="F6" s="326"/>
      <c r="G6" s="326"/>
      <c r="H6" s="327"/>
    </row>
    <row r="7" spans="1:8" ht="64.5" customHeight="1">
      <c r="A7" s="60">
        <v>205</v>
      </c>
      <c r="B7" s="390" t="s">
        <v>75</v>
      </c>
      <c r="C7" s="390"/>
      <c r="D7" s="390"/>
      <c r="E7" s="390"/>
      <c r="F7" s="390"/>
      <c r="G7" s="390"/>
      <c r="H7" s="391"/>
    </row>
    <row r="8" spans="1:8" ht="15.75" customHeight="1">
      <c r="A8" s="61"/>
      <c r="B8" s="330"/>
      <c r="C8" s="331"/>
      <c r="D8" s="331"/>
      <c r="E8" s="331"/>
      <c r="F8" s="331"/>
      <c r="G8" s="62" t="s">
        <v>124</v>
      </c>
      <c r="H8" s="82" t="s">
        <v>198</v>
      </c>
    </row>
    <row r="9" spans="1:8" ht="0.75" customHeight="1">
      <c r="A9" s="38"/>
      <c r="B9" s="27"/>
      <c r="C9" s="316"/>
      <c r="D9" s="316"/>
      <c r="E9" s="316"/>
      <c r="F9" s="39"/>
      <c r="G9" s="53"/>
      <c r="H9" s="40"/>
    </row>
    <row r="10" spans="1:8">
      <c r="B10" s="194" t="s">
        <v>113</v>
      </c>
      <c r="C10" s="340" t="s">
        <v>309</v>
      </c>
      <c r="D10" s="340"/>
      <c r="E10" s="53"/>
      <c r="F10" s="39"/>
      <c r="G10" s="53"/>
      <c r="H10" s="40"/>
    </row>
    <row r="11" spans="1:8" ht="15.75">
      <c r="A11" s="38"/>
      <c r="B11" s="65" t="s">
        <v>114</v>
      </c>
      <c r="C11" s="65" t="s">
        <v>44</v>
      </c>
      <c r="D11" s="65"/>
      <c r="E11" s="66"/>
      <c r="F11" s="66"/>
      <c r="G11" s="66" t="s">
        <v>9</v>
      </c>
      <c r="H11" s="40"/>
    </row>
    <row r="12" spans="1:8">
      <c r="A12" s="64"/>
      <c r="B12" s="67" t="s">
        <v>199</v>
      </c>
      <c r="C12" s="68"/>
      <c r="D12" s="83"/>
      <c r="E12" s="69"/>
      <c r="F12" s="70"/>
      <c r="G12" s="70">
        <f>H43</f>
        <v>181.68</v>
      </c>
      <c r="H12" s="40"/>
    </row>
    <row r="13" spans="1:8" ht="15.75">
      <c r="A13" s="38"/>
      <c r="B13" s="79" t="s">
        <v>9</v>
      </c>
      <c r="C13" s="80"/>
      <c r="D13" s="80"/>
      <c r="E13" s="80"/>
      <c r="F13" s="80"/>
      <c r="G13" s="81">
        <f>G12</f>
        <v>181.68</v>
      </c>
      <c r="H13" s="40"/>
    </row>
    <row r="14" spans="1:8">
      <c r="A14" s="38"/>
      <c r="B14" s="35"/>
      <c r="C14" s="35"/>
      <c r="D14" s="35"/>
      <c r="E14" s="35"/>
      <c r="F14" s="35"/>
      <c r="G14" s="35"/>
      <c r="H14" s="40"/>
    </row>
    <row r="15" spans="1:8" ht="15.75">
      <c r="A15" s="42"/>
      <c r="B15" s="71" t="s">
        <v>117</v>
      </c>
      <c r="C15" s="72">
        <v>4150</v>
      </c>
      <c r="D15" s="35"/>
      <c r="E15" s="35"/>
      <c r="F15" s="35"/>
      <c r="G15" s="35"/>
      <c r="H15" s="43"/>
    </row>
    <row r="16" spans="1:8" ht="15.75">
      <c r="A16" s="44"/>
      <c r="B16" s="71" t="s">
        <v>118</v>
      </c>
      <c r="C16" s="72">
        <f>G45</f>
        <v>3968.3172999999997</v>
      </c>
      <c r="D16" s="35"/>
      <c r="E16" s="35"/>
      <c r="F16" s="35"/>
      <c r="G16" s="35"/>
      <c r="H16" s="43"/>
    </row>
    <row r="17" spans="1:8" ht="15.75">
      <c r="A17" s="44"/>
      <c r="B17" s="71" t="s">
        <v>119</v>
      </c>
      <c r="C17" s="72">
        <f>C15-C16</f>
        <v>181.6827000000003</v>
      </c>
      <c r="D17" s="35"/>
      <c r="E17" s="35"/>
      <c r="F17" s="35"/>
      <c r="G17" s="35"/>
      <c r="H17" s="43"/>
    </row>
    <row r="18" spans="1:8" ht="15.75">
      <c r="A18" s="55"/>
      <c r="B18" s="71" t="s">
        <v>120</v>
      </c>
      <c r="C18" s="72"/>
      <c r="D18" s="35"/>
      <c r="E18" s="35"/>
      <c r="F18" s="35"/>
      <c r="G18" s="35"/>
      <c r="H18" s="43"/>
    </row>
    <row r="19" spans="1:8" ht="15.75">
      <c r="A19" s="55"/>
      <c r="B19" s="71" t="s">
        <v>121</v>
      </c>
      <c r="C19" s="72">
        <f>G12</f>
        <v>181.68</v>
      </c>
      <c r="D19" s="35"/>
      <c r="E19" s="35"/>
      <c r="F19" s="35"/>
      <c r="G19" s="35"/>
      <c r="H19" s="43"/>
    </row>
    <row r="20" spans="1:8" ht="15.75">
      <c r="A20" s="55"/>
      <c r="B20" s="135"/>
      <c r="C20" s="136"/>
      <c r="D20" s="35"/>
      <c r="E20" s="35"/>
      <c r="F20" s="35"/>
      <c r="G20" s="35"/>
      <c r="H20" s="43"/>
    </row>
    <row r="21" spans="1:8">
      <c r="A21" s="55"/>
      <c r="B21" s="336" t="s">
        <v>339</v>
      </c>
      <c r="C21" s="337"/>
      <c r="D21" s="338"/>
      <c r="H21" s="43"/>
    </row>
    <row r="22" spans="1:8">
      <c r="A22" s="55"/>
      <c r="B22" s="336" t="s">
        <v>325</v>
      </c>
      <c r="C22" s="337"/>
      <c r="D22" s="338"/>
      <c r="F22" s="222" t="s">
        <v>157</v>
      </c>
      <c r="G22" s="141" t="s">
        <v>213</v>
      </c>
      <c r="H22" s="43"/>
    </row>
    <row r="23" spans="1:8">
      <c r="A23" s="55"/>
      <c r="B23" s="138" t="s">
        <v>200</v>
      </c>
      <c r="C23" s="139" t="s">
        <v>175</v>
      </c>
      <c r="D23" s="139" t="s">
        <v>260</v>
      </c>
      <c r="E23" s="223" t="s">
        <v>201</v>
      </c>
      <c r="F23" s="153">
        <v>44501</v>
      </c>
      <c r="G23" s="141">
        <v>376</v>
      </c>
      <c r="H23" s="43"/>
    </row>
    <row r="24" spans="1:8">
      <c r="A24" s="55"/>
      <c r="B24" s="160" t="s">
        <v>202</v>
      </c>
      <c r="C24" s="156">
        <v>91.417500000000004</v>
      </c>
      <c r="D24" s="156">
        <v>12.31</v>
      </c>
      <c r="E24" s="174" t="s">
        <v>198</v>
      </c>
      <c r="F24" s="153">
        <v>44531</v>
      </c>
      <c r="G24" s="148">
        <v>744.45</v>
      </c>
      <c r="H24" s="148"/>
    </row>
    <row r="25" spans="1:8">
      <c r="A25" s="55"/>
      <c r="B25" s="160" t="s">
        <v>203</v>
      </c>
      <c r="C25" s="156">
        <v>170.01200000000003</v>
      </c>
      <c r="D25" s="156">
        <v>22.98</v>
      </c>
      <c r="E25" s="174" t="s">
        <v>198</v>
      </c>
      <c r="F25" s="190">
        <v>44562</v>
      </c>
      <c r="G25" s="187">
        <v>933.9325</v>
      </c>
      <c r="H25" s="187"/>
    </row>
    <row r="26" spans="1:8">
      <c r="A26" s="55"/>
      <c r="B26" s="160" t="s">
        <v>204</v>
      </c>
      <c r="C26" s="156">
        <v>133.50800000000001</v>
      </c>
      <c r="D26" s="156">
        <v>14.22</v>
      </c>
      <c r="E26" s="174" t="s">
        <v>198</v>
      </c>
      <c r="F26" s="190">
        <v>44593</v>
      </c>
      <c r="G26" s="151">
        <v>1328.87</v>
      </c>
      <c r="H26" s="151"/>
    </row>
    <row r="27" spans="1:8">
      <c r="A27" s="55"/>
      <c r="B27" s="160" t="s">
        <v>205</v>
      </c>
      <c r="C27" s="156">
        <v>538.995</v>
      </c>
      <c r="D27" s="156">
        <v>66.98</v>
      </c>
      <c r="E27" s="174" t="s">
        <v>198</v>
      </c>
      <c r="F27" s="190">
        <v>44621</v>
      </c>
      <c r="G27" s="151">
        <v>1991.7473000000002</v>
      </c>
      <c r="H27" s="151"/>
    </row>
    <row r="28" spans="1:8">
      <c r="A28" s="55"/>
      <c r="B28" s="160" t="s">
        <v>206</v>
      </c>
      <c r="C28" s="156">
        <v>133.50800000000001</v>
      </c>
      <c r="D28" s="156">
        <v>15.29</v>
      </c>
      <c r="E28" s="174" t="s">
        <v>198</v>
      </c>
      <c r="F28" s="190">
        <v>44652</v>
      </c>
      <c r="G28" s="151">
        <f>G27</f>
        <v>1991.7473000000002</v>
      </c>
      <c r="H28" s="151"/>
    </row>
    <row r="29" spans="1:8">
      <c r="A29" s="55"/>
      <c r="B29" s="160" t="s">
        <v>207</v>
      </c>
      <c r="C29" s="156">
        <v>170.01200000000003</v>
      </c>
      <c r="D29" s="156">
        <v>15.49</v>
      </c>
      <c r="E29" s="141" t="s">
        <v>198</v>
      </c>
      <c r="F29" s="190">
        <v>44682</v>
      </c>
      <c r="G29" s="151">
        <v>2661.3573000000001</v>
      </c>
      <c r="H29" s="151"/>
    </row>
    <row r="30" spans="1:8">
      <c r="A30" s="55"/>
      <c r="B30" s="160" t="s">
        <v>210</v>
      </c>
      <c r="C30" s="156">
        <v>91.417500000000004</v>
      </c>
      <c r="D30" s="156">
        <v>12.31</v>
      </c>
      <c r="E30" s="141" t="s">
        <v>198</v>
      </c>
      <c r="F30" s="190">
        <v>44713</v>
      </c>
      <c r="G30" s="151">
        <v>3030.8703</v>
      </c>
      <c r="H30" s="151"/>
    </row>
    <row r="31" spans="1:8">
      <c r="A31" s="55"/>
      <c r="B31" s="160" t="s">
        <v>219</v>
      </c>
      <c r="C31" s="156">
        <v>150.52000000000001</v>
      </c>
      <c r="D31" s="156">
        <v>26.5</v>
      </c>
      <c r="E31" s="141" t="s">
        <v>198</v>
      </c>
      <c r="F31" s="190">
        <v>44743</v>
      </c>
      <c r="G31" s="151">
        <v>3038.4703000000004</v>
      </c>
      <c r="H31" s="151"/>
    </row>
    <row r="32" spans="1:8">
      <c r="A32" s="55"/>
      <c r="B32" s="160" t="s">
        <v>220</v>
      </c>
      <c r="C32" s="156">
        <v>73.378500000000003</v>
      </c>
      <c r="D32" s="156">
        <v>6.54</v>
      </c>
      <c r="E32" s="141" t="s">
        <v>198</v>
      </c>
      <c r="F32" s="146">
        <v>44774</v>
      </c>
      <c r="G32" s="151">
        <v>3510.3132999999998</v>
      </c>
      <c r="H32" s="151"/>
    </row>
    <row r="33" spans="1:8">
      <c r="A33" s="55"/>
      <c r="B33" s="160" t="s">
        <v>221</v>
      </c>
      <c r="C33" s="156">
        <v>31.42</v>
      </c>
      <c r="D33" s="156">
        <v>20.16</v>
      </c>
      <c r="E33" s="141" t="s">
        <v>198</v>
      </c>
      <c r="F33" s="146">
        <v>44805</v>
      </c>
      <c r="G33" s="151">
        <v>3692.5173000000004</v>
      </c>
      <c r="H33" s="151">
        <f>G33-G32</f>
        <v>182.20400000000063</v>
      </c>
    </row>
    <row r="34" spans="1:8">
      <c r="A34" s="55"/>
      <c r="B34" s="160" t="s">
        <v>222</v>
      </c>
      <c r="C34" s="156">
        <v>292.00880000000001</v>
      </c>
      <c r="D34" s="156">
        <v>42.81</v>
      </c>
      <c r="E34" s="141" t="s">
        <v>198</v>
      </c>
      <c r="F34" s="146">
        <v>44835</v>
      </c>
      <c r="G34" s="151">
        <f>C51</f>
        <v>3786.6372999999999</v>
      </c>
      <c r="H34" s="151">
        <f>G34-G33</f>
        <v>94.119999999999436</v>
      </c>
    </row>
    <row r="35" spans="1:8">
      <c r="A35" s="55"/>
      <c r="B35" s="160" t="s">
        <v>223</v>
      </c>
      <c r="C35" s="156">
        <v>162.81</v>
      </c>
      <c r="D35" s="156">
        <v>5.33</v>
      </c>
      <c r="E35" s="141" t="s">
        <v>198</v>
      </c>
      <c r="G35" s="147"/>
      <c r="H35" s="188"/>
    </row>
    <row r="36" spans="1:8">
      <c r="A36" s="55"/>
      <c r="B36" s="160" t="s">
        <v>246</v>
      </c>
      <c r="C36" s="156">
        <v>77.38</v>
      </c>
      <c r="D36" s="156">
        <v>2.5299999999999998</v>
      </c>
      <c r="E36" s="141" t="s">
        <v>198</v>
      </c>
      <c r="F36" s="236">
        <v>44896</v>
      </c>
      <c r="H36" s="188"/>
    </row>
    <row r="37" spans="1:8">
      <c r="A37" s="55"/>
      <c r="B37" s="160" t="s">
        <v>247</v>
      </c>
      <c r="C37" s="156">
        <v>31.42</v>
      </c>
      <c r="D37" s="156">
        <v>20.16</v>
      </c>
      <c r="E37" s="141" t="s">
        <v>198</v>
      </c>
      <c r="F37" s="380" t="s">
        <v>353</v>
      </c>
      <c r="G37" s="380"/>
      <c r="H37" s="381"/>
    </row>
    <row r="38" spans="1:8">
      <c r="A38" s="55"/>
      <c r="B38" s="160" t="s">
        <v>248</v>
      </c>
      <c r="C38" s="156">
        <v>288.44</v>
      </c>
      <c r="D38" s="156">
        <v>31.04</v>
      </c>
      <c r="E38" s="141" t="s">
        <v>198</v>
      </c>
      <c r="F38" s="380"/>
      <c r="G38" s="380"/>
      <c r="H38" s="381"/>
    </row>
    <row r="39" spans="1:8">
      <c r="A39" s="55"/>
      <c r="B39" s="195" t="s">
        <v>321</v>
      </c>
      <c r="C39" s="156">
        <v>138.51</v>
      </c>
      <c r="D39" s="156"/>
      <c r="E39" s="141" t="s">
        <v>198</v>
      </c>
      <c r="F39" t="s">
        <v>352</v>
      </c>
      <c r="H39" s="188"/>
    </row>
    <row r="40" spans="1:8" ht="15" customHeight="1">
      <c r="A40" s="55"/>
      <c r="B40" s="195" t="s">
        <v>327</v>
      </c>
      <c r="C40" s="156">
        <v>26.95</v>
      </c>
      <c r="D40" s="156"/>
      <c r="E40" s="141" t="s">
        <v>198</v>
      </c>
      <c r="F40" t="s">
        <v>354</v>
      </c>
      <c r="H40" s="248">
        <v>32</v>
      </c>
    </row>
    <row r="41" spans="1:8" ht="15" customHeight="1">
      <c r="A41" s="55"/>
      <c r="B41" s="195" t="s">
        <v>281</v>
      </c>
      <c r="C41" s="156">
        <v>72.989999999999995</v>
      </c>
      <c r="D41" s="156"/>
      <c r="E41" s="141" t="s">
        <v>198</v>
      </c>
      <c r="F41" s="147"/>
      <c r="H41" s="188"/>
    </row>
    <row r="42" spans="1:8" ht="15" customHeight="1">
      <c r="A42" s="55"/>
      <c r="B42" s="195" t="s">
        <v>330</v>
      </c>
      <c r="C42" s="156">
        <v>88.22</v>
      </c>
      <c r="D42" s="156"/>
      <c r="E42" s="141" t="s">
        <v>198</v>
      </c>
      <c r="F42" t="s">
        <v>368</v>
      </c>
      <c r="H42" s="248">
        <v>149.68</v>
      </c>
    </row>
    <row r="43" spans="1:8" ht="15" customHeight="1">
      <c r="A43" s="55"/>
      <c r="B43" s="195" t="s">
        <v>282</v>
      </c>
      <c r="C43" s="156">
        <v>67.13</v>
      </c>
      <c r="D43" s="156"/>
      <c r="E43" s="141" t="s">
        <v>198</v>
      </c>
      <c r="G43" t="s">
        <v>369</v>
      </c>
      <c r="H43" s="249">
        <f>H42+H40</f>
        <v>181.68</v>
      </c>
    </row>
    <row r="44" spans="1:8">
      <c r="A44" s="55"/>
      <c r="B44" s="195" t="s">
        <v>296</v>
      </c>
      <c r="C44" s="156">
        <v>275.46000000000004</v>
      </c>
      <c r="D44" s="156"/>
      <c r="E44" s="141" t="s">
        <v>198</v>
      </c>
      <c r="G44" s="147">
        <f>G35+H43</f>
        <v>181.68</v>
      </c>
      <c r="H44" s="188"/>
    </row>
    <row r="45" spans="1:8" ht="15" customHeight="1">
      <c r="A45" s="55"/>
      <c r="B45" s="195" t="s">
        <v>302</v>
      </c>
      <c r="C45" s="156">
        <v>77.930000000000007</v>
      </c>
      <c r="D45" s="156"/>
      <c r="E45" s="141" t="s">
        <v>198</v>
      </c>
      <c r="G45" s="147">
        <f>G44+G34</f>
        <v>3968.3172999999997</v>
      </c>
      <c r="H45" s="188"/>
    </row>
    <row r="46" spans="1:8">
      <c r="A46" s="55"/>
      <c r="B46" s="195" t="s">
        <v>303</v>
      </c>
      <c r="C46" s="156">
        <v>45.11</v>
      </c>
      <c r="D46" s="156"/>
      <c r="E46" s="141" t="s">
        <v>198</v>
      </c>
      <c r="G46" s="147"/>
      <c r="H46" s="188"/>
    </row>
    <row r="47" spans="1:8">
      <c r="A47" s="55"/>
      <c r="B47" s="195" t="s">
        <v>319</v>
      </c>
      <c r="C47" s="156">
        <v>17.62</v>
      </c>
      <c r="D47" s="156"/>
      <c r="E47" s="141" t="s">
        <v>198</v>
      </c>
      <c r="G47" s="147"/>
      <c r="H47" s="188"/>
    </row>
    <row r="48" spans="1:8">
      <c r="A48" s="55"/>
      <c r="B48" s="195" t="s">
        <v>320</v>
      </c>
      <c r="C48" s="156">
        <v>107.19</v>
      </c>
      <c r="D48" s="156"/>
      <c r="E48" s="141" t="s">
        <v>198</v>
      </c>
      <c r="F48" s="147"/>
      <c r="H48" s="43"/>
    </row>
    <row r="49" spans="1:8">
      <c r="A49" s="55"/>
      <c r="B49" s="195" t="s">
        <v>322</v>
      </c>
      <c r="C49" s="156">
        <v>97.5</v>
      </c>
      <c r="D49" s="156"/>
      <c r="E49" s="141" t="s">
        <v>198</v>
      </c>
      <c r="F49" s="147"/>
      <c r="H49" s="43"/>
    </row>
    <row r="50" spans="1:8">
      <c r="A50" s="55"/>
      <c r="B50" s="195" t="s">
        <v>323</v>
      </c>
      <c r="C50" s="156">
        <v>21.13</v>
      </c>
      <c r="D50" s="156"/>
      <c r="E50" s="141" t="s">
        <v>198</v>
      </c>
      <c r="F50" s="147"/>
      <c r="H50" s="43"/>
    </row>
    <row r="51" spans="1:8">
      <c r="A51" s="55"/>
      <c r="B51" s="175" t="s">
        <v>9</v>
      </c>
      <c r="C51" s="335">
        <f>SUM(C24:C50)+SUM(D24:D50)</f>
        <v>3786.6372999999999</v>
      </c>
      <c r="D51" s="335"/>
      <c r="E51" s="176" t="s">
        <v>198</v>
      </c>
      <c r="F51" s="147"/>
      <c r="H51" s="43"/>
    </row>
    <row r="52" spans="1:8">
      <c r="A52" s="55"/>
      <c r="B52" s="170"/>
      <c r="C52" s="168"/>
      <c r="D52" s="169"/>
      <c r="H52" s="43"/>
    </row>
    <row r="53" spans="1:8" ht="15.75">
      <c r="A53" s="55"/>
      <c r="B53" s="135"/>
      <c r="C53" s="136"/>
      <c r="D53" s="35"/>
      <c r="E53" s="35"/>
      <c r="F53" s="35"/>
      <c r="G53" s="35"/>
      <c r="H53" s="43"/>
    </row>
    <row r="54" spans="1:8" ht="15.75">
      <c r="A54" s="38"/>
      <c r="B54" s="54"/>
      <c r="C54" s="54"/>
      <c r="D54" s="54"/>
      <c r="E54" s="35"/>
      <c r="F54" s="35"/>
      <c r="G54" s="28"/>
      <c r="H54" s="46"/>
    </row>
    <row r="55" spans="1:8" ht="15.75">
      <c r="A55" s="38"/>
      <c r="B55" s="54"/>
      <c r="C55" s="54"/>
      <c r="D55" s="54"/>
      <c r="E55" s="35"/>
      <c r="F55" s="35"/>
      <c r="G55" s="28"/>
      <c r="H55" s="46"/>
    </row>
    <row r="56" spans="1:8" ht="15.75">
      <c r="A56" s="38"/>
      <c r="D56" s="54"/>
      <c r="E56" s="35"/>
      <c r="F56" s="35"/>
      <c r="G56" s="28"/>
      <c r="H56" s="46"/>
    </row>
    <row r="57" spans="1:8" ht="15.75">
      <c r="A57" s="38"/>
      <c r="B57" s="54"/>
      <c r="C57" s="54"/>
      <c r="D57" s="54"/>
      <c r="E57" s="35"/>
      <c r="F57" s="35"/>
      <c r="G57" s="28"/>
      <c r="H57" s="46"/>
    </row>
    <row r="58" spans="1:8" ht="15.75">
      <c r="A58" s="38"/>
      <c r="B58" s="54"/>
      <c r="C58" s="54"/>
      <c r="D58" s="54"/>
      <c r="E58" s="35"/>
      <c r="F58" s="35"/>
      <c r="G58" s="28"/>
      <c r="H58" s="46"/>
    </row>
    <row r="59" spans="1:8" ht="15.75">
      <c r="A59" s="38"/>
      <c r="B59" s="54"/>
      <c r="C59" s="54"/>
      <c r="D59" s="54"/>
      <c r="E59" s="35"/>
      <c r="F59" s="35"/>
      <c r="G59" s="28"/>
      <c r="H59" s="46"/>
    </row>
    <row r="60" spans="1:8" ht="15.75">
      <c r="A60" s="38"/>
      <c r="B60" s="54"/>
      <c r="C60" s="54"/>
      <c r="D60" s="54"/>
      <c r="E60" s="35"/>
      <c r="F60" s="35"/>
      <c r="G60" s="28"/>
      <c r="H60" s="46"/>
    </row>
    <row r="61" spans="1:8" ht="15.75">
      <c r="A61" s="38"/>
      <c r="B61" s="54"/>
      <c r="C61" s="54"/>
      <c r="D61" s="54"/>
      <c r="E61" s="35"/>
      <c r="F61" s="35"/>
      <c r="G61" s="28"/>
      <c r="H61" s="46"/>
    </row>
    <row r="62" spans="1:8" ht="15.75">
      <c r="A62" s="73" t="s">
        <v>122</v>
      </c>
      <c r="B62" s="74"/>
      <c r="C62" s="75"/>
      <c r="D62" s="76"/>
      <c r="E62" s="77"/>
      <c r="F62" s="75"/>
      <c r="G62" s="75"/>
      <c r="H62" s="78"/>
    </row>
    <row r="63" spans="1:8" ht="15" customHeight="1">
      <c r="A63" s="313" t="s">
        <v>191</v>
      </c>
      <c r="B63" s="314"/>
      <c r="C63" s="314"/>
      <c r="D63" s="314"/>
      <c r="E63" s="314"/>
      <c r="F63" s="314"/>
      <c r="G63" s="314"/>
      <c r="H63" s="315"/>
    </row>
    <row r="64" spans="1:8" ht="15.75">
      <c r="A64" s="48"/>
      <c r="B64" s="33"/>
      <c r="C64" s="49"/>
      <c r="D64" s="49"/>
      <c r="E64" s="49"/>
      <c r="F64" s="50"/>
      <c r="G64" s="51"/>
      <c r="H64" s="52"/>
    </row>
    <row r="65" spans="1:8">
      <c r="A65" s="27"/>
      <c r="B65" s="29"/>
      <c r="C65" s="30"/>
      <c r="D65" s="31"/>
      <c r="E65" s="32"/>
      <c r="F65" s="30"/>
      <c r="G65" s="30"/>
      <c r="H65" s="30"/>
    </row>
  </sheetData>
  <mergeCells count="13">
    <mergeCell ref="C9:E9"/>
    <mergeCell ref="C10:D10"/>
    <mergeCell ref="A63:H63"/>
    <mergeCell ref="A2:H2"/>
    <mergeCell ref="A3:H3"/>
    <mergeCell ref="A4:H4"/>
    <mergeCell ref="B6:H6"/>
    <mergeCell ref="B7:H7"/>
    <mergeCell ref="B8:F8"/>
    <mergeCell ref="B21:D21"/>
    <mergeCell ref="B22:D22"/>
    <mergeCell ref="C51:D51"/>
    <mergeCell ref="F37:H38"/>
  </mergeCells>
  <phoneticPr fontId="54" type="noConversion"/>
  <pageMargins left="0.51181102362204722" right="0.51181102362204722" top="0.78740157480314965" bottom="0.78740157480314965" header="0.31496062992125984" footer="0.31496062992125984"/>
  <pageSetup paperSize="9" scale="75" orientation="portrait" r:id="rId1"/>
  <drawing r:id="rId2"/>
</worksheet>
</file>

<file path=xl/worksheets/sheet19.xml><?xml version="1.0" encoding="utf-8"?>
<worksheet xmlns="http://schemas.openxmlformats.org/spreadsheetml/2006/main" xmlns:r="http://schemas.openxmlformats.org/officeDocument/2006/relationships">
  <sheetPr>
    <pageSetUpPr fitToPage="1"/>
  </sheetPr>
  <dimension ref="A1:H65"/>
  <sheetViews>
    <sheetView view="pageBreakPreview" topLeftCell="A7" zoomScaleSheetLayoutView="100" workbookViewId="0">
      <selection activeCell="G13" sqref="G13"/>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10.85546875" customWidth="1"/>
  </cols>
  <sheetData>
    <row r="1" spans="1:8" ht="14.25" customHeight="1">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ht="3" customHeight="1">
      <c r="A5" s="34"/>
      <c r="B5" s="35"/>
      <c r="C5" s="36"/>
      <c r="D5" s="36"/>
      <c r="E5" s="26"/>
      <c r="F5" s="36"/>
      <c r="G5" s="36"/>
      <c r="H5" s="37"/>
    </row>
    <row r="6" spans="1:8">
      <c r="A6" s="59">
        <v>2</v>
      </c>
      <c r="B6" s="326" t="s">
        <v>179</v>
      </c>
      <c r="C6" s="326"/>
      <c r="D6" s="326"/>
      <c r="E6" s="326"/>
      <c r="F6" s="326"/>
      <c r="G6" s="326"/>
      <c r="H6" s="327"/>
    </row>
    <row r="7" spans="1:8" ht="64.5" customHeight="1">
      <c r="A7" s="60">
        <v>210</v>
      </c>
      <c r="B7" s="390" t="s">
        <v>80</v>
      </c>
      <c r="C7" s="390"/>
      <c r="D7" s="390"/>
      <c r="E7" s="390"/>
      <c r="F7" s="390"/>
      <c r="G7" s="390"/>
      <c r="H7" s="391"/>
    </row>
    <row r="8" spans="1:8" ht="15.75" customHeight="1">
      <c r="A8" s="61"/>
      <c r="B8" s="330"/>
      <c r="C8" s="331"/>
      <c r="D8" s="331"/>
      <c r="E8" s="331"/>
      <c r="F8" s="331"/>
      <c r="G8" s="62" t="s">
        <v>124</v>
      </c>
      <c r="H8" s="82" t="s">
        <v>198</v>
      </c>
    </row>
    <row r="9" spans="1:8" ht="0.75" customHeight="1">
      <c r="A9" s="38"/>
      <c r="B9" s="27"/>
      <c r="C9" s="316"/>
      <c r="D9" s="316"/>
      <c r="E9" s="316"/>
      <c r="F9" s="39"/>
      <c r="G9" s="53"/>
      <c r="H9" s="40"/>
    </row>
    <row r="10" spans="1:8">
      <c r="B10" s="194" t="s">
        <v>113</v>
      </c>
      <c r="C10" s="340" t="s">
        <v>309</v>
      </c>
      <c r="D10" s="340"/>
      <c r="E10" s="53"/>
      <c r="F10" s="39"/>
      <c r="G10" s="53"/>
      <c r="H10" s="40"/>
    </row>
    <row r="11" spans="1:8" ht="15.75">
      <c r="A11" s="38"/>
      <c r="B11" s="65" t="s">
        <v>114</v>
      </c>
      <c r="C11" s="65" t="s">
        <v>44</v>
      </c>
      <c r="D11" s="65"/>
      <c r="E11" s="66"/>
      <c r="F11" s="66"/>
      <c r="G11" s="66" t="s">
        <v>9</v>
      </c>
      <c r="H11" s="40"/>
    </row>
    <row r="12" spans="1:8">
      <c r="A12" s="64"/>
      <c r="B12" s="67" t="s">
        <v>367</v>
      </c>
      <c r="C12" s="68"/>
      <c r="D12" s="83"/>
      <c r="E12" s="69"/>
      <c r="F12" s="70"/>
      <c r="G12" s="70">
        <v>181.68</v>
      </c>
      <c r="H12" s="40"/>
    </row>
    <row r="13" spans="1:8" ht="15.75">
      <c r="A13" s="38"/>
      <c r="B13" s="79" t="s">
        <v>9</v>
      </c>
      <c r="C13" s="80"/>
      <c r="D13" s="80"/>
      <c r="E13" s="80"/>
      <c r="F13" s="80"/>
      <c r="G13" s="81">
        <f>G12</f>
        <v>181.68</v>
      </c>
      <c r="H13" s="40"/>
    </row>
    <row r="14" spans="1:8">
      <c r="A14" s="38"/>
      <c r="B14" s="35"/>
      <c r="C14" s="35"/>
      <c r="D14" s="35"/>
      <c r="E14" s="35"/>
      <c r="F14" s="35"/>
      <c r="G14" s="35"/>
      <c r="H14" s="40"/>
    </row>
    <row r="15" spans="1:8" ht="15.75">
      <c r="A15" s="42"/>
      <c r="B15" s="71" t="s">
        <v>117</v>
      </c>
      <c r="C15" s="72">
        <v>400</v>
      </c>
      <c r="D15" s="35"/>
      <c r="E15" s="35"/>
      <c r="F15" s="35"/>
      <c r="G15" s="35"/>
      <c r="H15" s="43"/>
    </row>
    <row r="16" spans="1:8" ht="15.75">
      <c r="A16" s="44"/>
      <c r="B16" s="71" t="s">
        <v>118</v>
      </c>
      <c r="C16" s="72">
        <f>G13</f>
        <v>181.68</v>
      </c>
      <c r="D16" s="35"/>
      <c r="E16" s="35"/>
      <c r="F16" s="35"/>
      <c r="G16" s="35"/>
      <c r="H16" s="43"/>
    </row>
    <row r="17" spans="1:8" ht="15.75">
      <c r="A17" s="44"/>
      <c r="B17" s="71" t="s">
        <v>119</v>
      </c>
      <c r="C17" s="72">
        <f>C15-C16</f>
        <v>218.32</v>
      </c>
      <c r="D17" s="35"/>
      <c r="E17" s="35"/>
      <c r="F17" s="35"/>
      <c r="G17" s="35"/>
      <c r="H17" s="43"/>
    </row>
    <row r="18" spans="1:8" ht="15.75">
      <c r="A18" s="55"/>
      <c r="B18" s="71" t="s">
        <v>120</v>
      </c>
      <c r="C18" s="72"/>
      <c r="D18" s="35"/>
      <c r="E18" s="35"/>
      <c r="F18" s="35"/>
      <c r="G18" s="35"/>
      <c r="H18" s="43"/>
    </row>
    <row r="19" spans="1:8" ht="15.75">
      <c r="A19" s="55"/>
      <c r="B19" s="71" t="s">
        <v>121</v>
      </c>
      <c r="C19" s="72">
        <f>G12</f>
        <v>181.68</v>
      </c>
      <c r="D19" s="35"/>
      <c r="E19" s="35"/>
      <c r="F19" s="35"/>
      <c r="G19" s="35"/>
      <c r="H19" s="43"/>
    </row>
    <row r="20" spans="1:8" ht="15.75">
      <c r="A20" s="55"/>
      <c r="B20" s="135"/>
      <c r="C20" s="136"/>
      <c r="D20" s="35"/>
      <c r="E20" s="35"/>
      <c r="F20" s="35"/>
      <c r="G20" s="35"/>
      <c r="H20" s="43"/>
    </row>
    <row r="21" spans="1:8">
      <c r="A21" s="55"/>
      <c r="B21" s="336" t="s">
        <v>344</v>
      </c>
      <c r="C21" s="337"/>
      <c r="D21" s="338"/>
      <c r="H21" s="43"/>
    </row>
    <row r="22" spans="1:8">
      <c r="A22" s="55"/>
      <c r="B22" s="336" t="s">
        <v>356</v>
      </c>
      <c r="C22" s="337"/>
      <c r="D22" s="338"/>
      <c r="F22" s="222" t="s">
        <v>157</v>
      </c>
      <c r="G22" s="141" t="s">
        <v>213</v>
      </c>
      <c r="H22" s="43"/>
    </row>
    <row r="23" spans="1:8">
      <c r="A23" s="55"/>
      <c r="B23" s="138" t="s">
        <v>200</v>
      </c>
      <c r="C23" s="139" t="s">
        <v>365</v>
      </c>
      <c r="D23" s="139" t="s">
        <v>366</v>
      </c>
      <c r="E23" s="223" t="s">
        <v>201</v>
      </c>
      <c r="F23" s="153"/>
      <c r="G23" s="141"/>
      <c r="H23" s="43"/>
    </row>
    <row r="24" spans="1:8">
      <c r="A24" s="55"/>
      <c r="B24" s="160" t="s">
        <v>357</v>
      </c>
      <c r="C24" s="156">
        <v>67</v>
      </c>
      <c r="D24" s="156">
        <v>67</v>
      </c>
      <c r="E24" s="174" t="s">
        <v>198</v>
      </c>
      <c r="F24" s="153"/>
      <c r="G24" s="148"/>
      <c r="H24" s="148"/>
    </row>
    <row r="25" spans="1:8">
      <c r="A25" s="55"/>
      <c r="B25" s="160" t="s">
        <v>358</v>
      </c>
      <c r="C25" s="156">
        <v>40</v>
      </c>
      <c r="D25" s="156">
        <v>20</v>
      </c>
      <c r="E25" s="174" t="s">
        <v>198</v>
      </c>
      <c r="F25" s="190"/>
      <c r="G25" s="187"/>
      <c r="H25" s="187"/>
    </row>
    <row r="26" spans="1:8">
      <c r="A26" s="55"/>
      <c r="B26" s="160" t="s">
        <v>359</v>
      </c>
      <c r="C26" s="156">
        <v>40</v>
      </c>
      <c r="D26" s="156">
        <v>20</v>
      </c>
      <c r="E26" s="174" t="s">
        <v>198</v>
      </c>
      <c r="F26" s="190"/>
      <c r="G26" s="151"/>
      <c r="H26" s="151"/>
    </row>
    <row r="27" spans="1:8">
      <c r="A27" s="55"/>
      <c r="B27" s="160" t="s">
        <v>360</v>
      </c>
      <c r="C27" s="156">
        <v>40</v>
      </c>
      <c r="D27" s="156">
        <v>20</v>
      </c>
      <c r="E27" s="174" t="s">
        <v>198</v>
      </c>
      <c r="F27" s="190"/>
      <c r="G27" s="151"/>
      <c r="H27" s="151"/>
    </row>
    <row r="28" spans="1:8">
      <c r="A28" s="55"/>
      <c r="B28" s="160" t="s">
        <v>361</v>
      </c>
      <c r="C28" s="156">
        <v>40</v>
      </c>
      <c r="D28" s="156">
        <v>20</v>
      </c>
      <c r="E28" s="174" t="s">
        <v>198</v>
      </c>
      <c r="F28" s="190"/>
      <c r="G28" s="151"/>
      <c r="H28" s="151"/>
    </row>
    <row r="29" spans="1:8">
      <c r="A29" s="55"/>
      <c r="B29" s="160" t="s">
        <v>362</v>
      </c>
      <c r="C29" s="156">
        <v>40</v>
      </c>
      <c r="D29" s="156">
        <v>20</v>
      </c>
      <c r="E29" s="141" t="s">
        <v>198</v>
      </c>
      <c r="F29" s="190"/>
      <c r="G29" s="151"/>
      <c r="H29" s="151"/>
    </row>
    <row r="30" spans="1:8">
      <c r="A30" s="55"/>
      <c r="B30" s="160" t="s">
        <v>363</v>
      </c>
      <c r="C30" s="156">
        <v>40</v>
      </c>
      <c r="D30" s="156">
        <v>20</v>
      </c>
      <c r="E30" s="141" t="s">
        <v>198</v>
      </c>
      <c r="F30" s="190"/>
      <c r="G30" s="151"/>
      <c r="H30" s="151"/>
    </row>
    <row r="31" spans="1:8">
      <c r="A31" s="55"/>
      <c r="B31" s="160" t="s">
        <v>364</v>
      </c>
      <c r="C31" s="156">
        <v>40</v>
      </c>
      <c r="D31" s="156">
        <v>20</v>
      </c>
      <c r="E31" s="141" t="s">
        <v>198</v>
      </c>
      <c r="F31" s="190"/>
      <c r="G31" s="151"/>
      <c r="H31" s="151"/>
    </row>
    <row r="32" spans="1:8">
      <c r="A32" s="55"/>
      <c r="B32" s="160">
        <v>4</v>
      </c>
      <c r="C32" s="156"/>
      <c r="D32" s="156"/>
      <c r="E32" s="141" t="s">
        <v>198</v>
      </c>
      <c r="F32" s="146"/>
      <c r="G32" s="151"/>
      <c r="H32" s="151"/>
    </row>
    <row r="33" spans="1:8">
      <c r="A33" s="55"/>
      <c r="B33" s="160"/>
      <c r="C33" s="156"/>
      <c r="D33" s="156"/>
      <c r="E33" s="141" t="s">
        <v>198</v>
      </c>
      <c r="F33" s="146"/>
      <c r="G33" s="151"/>
      <c r="H33" s="151">
        <f>G33-G32</f>
        <v>0</v>
      </c>
    </row>
    <row r="34" spans="1:8">
      <c r="A34" s="55"/>
      <c r="B34" s="160"/>
      <c r="C34" s="156"/>
      <c r="D34" s="156"/>
      <c r="E34" s="141" t="s">
        <v>198</v>
      </c>
      <c r="F34" s="146"/>
      <c r="G34" s="151"/>
      <c r="H34" s="151">
        <f>G34-G33</f>
        <v>0</v>
      </c>
    </row>
    <row r="35" spans="1:8">
      <c r="A35" s="55"/>
      <c r="B35" s="160"/>
      <c r="C35" s="156"/>
      <c r="D35" s="156"/>
      <c r="E35" s="141" t="s">
        <v>198</v>
      </c>
      <c r="G35" s="147"/>
      <c r="H35" s="188"/>
    </row>
    <row r="36" spans="1:8">
      <c r="A36" s="55"/>
      <c r="B36" s="160"/>
      <c r="C36" s="156"/>
      <c r="D36" s="156"/>
      <c r="E36" s="141" t="s">
        <v>198</v>
      </c>
      <c r="F36" s="380"/>
      <c r="G36" s="380"/>
      <c r="H36" s="381"/>
    </row>
    <row r="37" spans="1:8">
      <c r="A37" s="55"/>
      <c r="B37" s="160"/>
      <c r="C37" s="156"/>
      <c r="D37" s="156"/>
      <c r="E37" s="141" t="s">
        <v>198</v>
      </c>
      <c r="F37" s="380"/>
      <c r="G37" s="380"/>
      <c r="H37" s="381"/>
    </row>
    <row r="38" spans="1:8">
      <c r="A38" s="55"/>
      <c r="B38" s="160"/>
      <c r="C38" s="156"/>
      <c r="D38" s="156"/>
      <c r="E38" s="141" t="s">
        <v>198</v>
      </c>
      <c r="H38" s="188"/>
    </row>
    <row r="39" spans="1:8">
      <c r="A39" s="55"/>
      <c r="B39" s="195"/>
      <c r="C39" s="156"/>
      <c r="D39" s="156"/>
      <c r="E39" s="141" t="s">
        <v>198</v>
      </c>
      <c r="H39" s="188"/>
    </row>
    <row r="40" spans="1:8" ht="15" customHeight="1">
      <c r="A40" s="55"/>
      <c r="B40" s="195"/>
      <c r="C40" s="156"/>
      <c r="D40" s="156"/>
      <c r="E40" s="141" t="s">
        <v>198</v>
      </c>
      <c r="F40" s="147"/>
      <c r="H40" s="188"/>
    </row>
    <row r="41" spans="1:8" ht="15" customHeight="1">
      <c r="A41" s="55"/>
      <c r="B41" s="195"/>
      <c r="C41" s="156"/>
      <c r="D41" s="156"/>
      <c r="E41" s="141" t="s">
        <v>198</v>
      </c>
      <c r="H41" s="188"/>
    </row>
    <row r="42" spans="1:8" ht="15" customHeight="1">
      <c r="A42" s="55"/>
      <c r="B42" s="195"/>
      <c r="C42" s="156"/>
      <c r="D42" s="156"/>
      <c r="E42" s="141" t="s">
        <v>198</v>
      </c>
      <c r="G42" s="147"/>
      <c r="H42" s="188"/>
    </row>
    <row r="43" spans="1:8" ht="15" customHeight="1">
      <c r="A43" s="55"/>
      <c r="B43" s="195"/>
      <c r="C43" s="156"/>
      <c r="D43" s="156"/>
      <c r="E43" s="141" t="s">
        <v>198</v>
      </c>
      <c r="G43" s="147"/>
      <c r="H43" s="188"/>
    </row>
    <row r="44" spans="1:8">
      <c r="A44" s="55"/>
      <c r="B44" s="195"/>
      <c r="C44" s="156"/>
      <c r="D44" s="156"/>
      <c r="E44" s="141" t="s">
        <v>198</v>
      </c>
      <c r="G44" s="147"/>
      <c r="H44" s="188"/>
    </row>
    <row r="45" spans="1:8" ht="15" customHeight="1">
      <c r="A45" s="55"/>
      <c r="B45" s="195"/>
      <c r="C45" s="156"/>
      <c r="D45" s="156"/>
      <c r="E45" s="141" t="s">
        <v>198</v>
      </c>
      <c r="G45" s="147"/>
      <c r="H45" s="188"/>
    </row>
    <row r="46" spans="1:8">
      <c r="A46" s="55"/>
      <c r="B46" s="195"/>
      <c r="C46" s="156"/>
      <c r="D46" s="156"/>
      <c r="E46" s="141" t="s">
        <v>198</v>
      </c>
      <c r="G46" s="147"/>
      <c r="H46" s="188"/>
    </row>
    <row r="47" spans="1:8">
      <c r="A47" s="55"/>
      <c r="B47" s="195"/>
      <c r="C47" s="156"/>
      <c r="D47" s="156"/>
      <c r="E47" s="141" t="s">
        <v>198</v>
      </c>
      <c r="G47" s="147"/>
      <c r="H47" s="188"/>
    </row>
    <row r="48" spans="1:8">
      <c r="A48" s="55"/>
      <c r="B48" s="195"/>
      <c r="C48" s="156"/>
      <c r="D48" s="156"/>
      <c r="E48" s="141" t="s">
        <v>198</v>
      </c>
      <c r="F48" s="147"/>
      <c r="H48" s="43"/>
    </row>
    <row r="49" spans="1:8">
      <c r="A49" s="55"/>
      <c r="B49" s="195"/>
      <c r="C49" s="156"/>
      <c r="D49" s="156"/>
      <c r="E49" s="141" t="s">
        <v>198</v>
      </c>
      <c r="F49" s="147"/>
      <c r="H49" s="43"/>
    </row>
    <row r="50" spans="1:8">
      <c r="A50" s="55"/>
      <c r="B50" s="195"/>
      <c r="C50" s="156"/>
      <c r="D50" s="156"/>
      <c r="E50" s="141" t="s">
        <v>198</v>
      </c>
      <c r="F50" s="147"/>
      <c r="H50" s="43"/>
    </row>
    <row r="51" spans="1:8">
      <c r="A51" s="55"/>
      <c r="B51" s="175" t="s">
        <v>9</v>
      </c>
      <c r="C51" s="335">
        <f>SUM(D24:D50)</f>
        <v>207</v>
      </c>
      <c r="D51" s="335"/>
      <c r="E51" s="176" t="s">
        <v>198</v>
      </c>
      <c r="F51" s="147"/>
      <c r="H51" s="43"/>
    </row>
    <row r="52" spans="1:8">
      <c r="A52" s="55"/>
      <c r="B52" s="170"/>
      <c r="C52" s="168"/>
      <c r="D52" s="169"/>
      <c r="H52" s="43"/>
    </row>
    <row r="53" spans="1:8" ht="15.75">
      <c r="A53" s="55"/>
      <c r="B53" s="135"/>
      <c r="C53" s="136"/>
      <c r="D53" s="35"/>
      <c r="E53" s="35"/>
      <c r="F53" s="35"/>
      <c r="G53" s="35"/>
      <c r="H53" s="43"/>
    </row>
    <row r="54" spans="1:8" ht="15.75">
      <c r="A54" s="38"/>
      <c r="B54" s="54"/>
      <c r="C54" s="54"/>
      <c r="D54" s="54"/>
      <c r="E54" s="35"/>
      <c r="F54" s="35"/>
      <c r="G54" s="28"/>
      <c r="H54" s="46"/>
    </row>
    <row r="55" spans="1:8" ht="15.75">
      <c r="A55" s="38"/>
      <c r="B55" s="54"/>
      <c r="C55" s="54"/>
      <c r="D55" s="54"/>
      <c r="E55" s="35"/>
      <c r="F55" s="35"/>
      <c r="G55" s="28"/>
      <c r="H55" s="46"/>
    </row>
    <row r="56" spans="1:8" ht="15.75">
      <c r="A56" s="38"/>
      <c r="D56" s="54"/>
      <c r="E56" s="35"/>
      <c r="F56" s="35"/>
      <c r="G56" s="28"/>
      <c r="H56" s="46"/>
    </row>
    <row r="57" spans="1:8" ht="15.75">
      <c r="A57" s="38"/>
      <c r="B57" s="54"/>
      <c r="C57" s="54"/>
      <c r="D57" s="54"/>
      <c r="E57" s="35"/>
      <c r="F57" s="35"/>
      <c r="G57" s="28"/>
      <c r="H57" s="46"/>
    </row>
    <row r="58" spans="1:8" ht="15.75">
      <c r="A58" s="38"/>
      <c r="B58" s="54"/>
      <c r="C58" s="54"/>
      <c r="D58" s="54"/>
      <c r="E58" s="35"/>
      <c r="F58" s="35"/>
      <c r="G58" s="28"/>
      <c r="H58" s="46"/>
    </row>
    <row r="59" spans="1:8" ht="15.75">
      <c r="A59" s="38"/>
      <c r="B59" s="54"/>
      <c r="C59" s="54"/>
      <c r="D59" s="54"/>
      <c r="E59" s="35"/>
      <c r="F59" s="35"/>
      <c r="G59" s="28"/>
      <c r="H59" s="46"/>
    </row>
    <row r="60" spans="1:8" ht="15.75">
      <c r="A60" s="38"/>
      <c r="B60" s="54"/>
      <c r="C60" s="54"/>
      <c r="D60" s="54"/>
      <c r="E60" s="35"/>
      <c r="F60" s="35"/>
      <c r="G60" s="28"/>
      <c r="H60" s="46"/>
    </row>
    <row r="61" spans="1:8" ht="15.75">
      <c r="A61" s="38"/>
      <c r="B61" s="54"/>
      <c r="C61" s="54"/>
      <c r="D61" s="54"/>
      <c r="E61" s="35"/>
      <c r="F61" s="35"/>
      <c r="G61" s="28"/>
      <c r="H61" s="46"/>
    </row>
    <row r="62" spans="1:8" ht="15.75">
      <c r="A62" s="73" t="s">
        <v>122</v>
      </c>
      <c r="B62" s="74"/>
      <c r="C62" s="75"/>
      <c r="D62" s="76"/>
      <c r="E62" s="77"/>
      <c r="F62" s="75"/>
      <c r="G62" s="75"/>
      <c r="H62" s="78"/>
    </row>
    <row r="63" spans="1:8" ht="15" customHeight="1">
      <c r="A63" s="313" t="s">
        <v>191</v>
      </c>
      <c r="B63" s="314"/>
      <c r="C63" s="314"/>
      <c r="D63" s="314"/>
      <c r="E63" s="314"/>
      <c r="F63" s="314"/>
      <c r="G63" s="314"/>
      <c r="H63" s="315"/>
    </row>
    <row r="64" spans="1:8" ht="15.75">
      <c r="A64" s="48"/>
      <c r="B64" s="33"/>
      <c r="C64" s="49"/>
      <c r="D64" s="49"/>
      <c r="E64" s="49"/>
      <c r="F64" s="50"/>
      <c r="G64" s="51"/>
      <c r="H64" s="52"/>
    </row>
    <row r="65" spans="1:8">
      <c r="A65" s="27"/>
      <c r="B65" s="29"/>
      <c r="C65" s="30"/>
      <c r="D65" s="31"/>
      <c r="E65" s="32"/>
      <c r="F65" s="30"/>
      <c r="G65" s="30"/>
      <c r="H65" s="30"/>
    </row>
  </sheetData>
  <mergeCells count="13">
    <mergeCell ref="B8:F8"/>
    <mergeCell ref="A2:H2"/>
    <mergeCell ref="A3:H3"/>
    <mergeCell ref="A4:H4"/>
    <mergeCell ref="B6:H6"/>
    <mergeCell ref="B7:H7"/>
    <mergeCell ref="A63:H63"/>
    <mergeCell ref="C9:E9"/>
    <mergeCell ref="C10:D10"/>
    <mergeCell ref="B21:D21"/>
    <mergeCell ref="B22:D22"/>
    <mergeCell ref="F36:H37"/>
    <mergeCell ref="C51:D51"/>
  </mergeCells>
  <phoneticPr fontId="54" type="noConversion"/>
  <pageMargins left="0.51181102362204722" right="0.51181102362204722" top="0.78740157480314965" bottom="0.78740157480314965"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J66"/>
  <sheetViews>
    <sheetView view="pageBreakPreview" zoomScaleSheetLayoutView="100" workbookViewId="0">
      <selection activeCell="E44" sqref="E44:F44"/>
    </sheetView>
  </sheetViews>
  <sheetFormatPr defaultRowHeight="15"/>
  <cols>
    <col min="1" max="1" width="15.425781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7.28515625" customWidth="1"/>
  </cols>
  <sheetData>
    <row r="1" spans="1:8" ht="7.5" customHeight="1">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ht="6.75" customHeight="1">
      <c r="A5" s="34"/>
      <c r="B5" s="35"/>
      <c r="C5" s="36"/>
      <c r="D5" s="36"/>
      <c r="E5" s="26"/>
      <c r="F5" s="36"/>
      <c r="G5" s="36"/>
      <c r="H5" s="37"/>
    </row>
    <row r="6" spans="1:8">
      <c r="A6" s="59">
        <v>1</v>
      </c>
      <c r="B6" s="326" t="s">
        <v>123</v>
      </c>
      <c r="C6" s="326"/>
      <c r="D6" s="326"/>
      <c r="E6" s="326"/>
      <c r="F6" s="326"/>
      <c r="G6" s="326"/>
      <c r="H6" s="327"/>
    </row>
    <row r="7" spans="1:8" ht="32.25" customHeight="1">
      <c r="A7" s="60">
        <v>102</v>
      </c>
      <c r="B7" s="328" t="s">
        <v>57</v>
      </c>
      <c r="C7" s="328"/>
      <c r="D7" s="328"/>
      <c r="E7" s="328"/>
      <c r="F7" s="328"/>
      <c r="G7" s="328"/>
      <c r="H7" s="329"/>
    </row>
    <row r="8" spans="1:8" ht="15.75" customHeight="1">
      <c r="A8" s="61"/>
      <c r="B8" s="330"/>
      <c r="C8" s="331"/>
      <c r="D8" s="331"/>
      <c r="E8" s="331"/>
      <c r="F8" s="331"/>
      <c r="G8" s="62" t="s">
        <v>124</v>
      </c>
      <c r="H8" s="63" t="s">
        <v>125</v>
      </c>
    </row>
    <row r="9" spans="1:8" ht="5.25" customHeight="1">
      <c r="A9" s="38"/>
      <c r="B9" s="27"/>
      <c r="C9" s="316"/>
      <c r="D9" s="316"/>
      <c r="E9" s="316"/>
      <c r="F9" s="39"/>
      <c r="G9" s="53"/>
      <c r="H9" s="40"/>
    </row>
    <row r="10" spans="1:8" ht="15.75">
      <c r="A10" s="41" t="s">
        <v>113</v>
      </c>
      <c r="B10" s="27"/>
      <c r="C10" s="53" t="s">
        <v>126</v>
      </c>
      <c r="D10" s="53"/>
      <c r="E10" s="53"/>
      <c r="F10" s="39"/>
      <c r="G10" s="53"/>
      <c r="H10" s="40"/>
    </row>
    <row r="11" spans="1:8" ht="15.75">
      <c r="A11" s="38"/>
      <c r="B11" s="65" t="s">
        <v>114</v>
      </c>
      <c r="C11" s="65"/>
      <c r="D11" s="65"/>
      <c r="E11" s="66" t="s">
        <v>115</v>
      </c>
      <c r="F11" s="66" t="s">
        <v>116</v>
      </c>
      <c r="G11" s="66" t="s">
        <v>9</v>
      </c>
      <c r="H11" s="40"/>
    </row>
    <row r="12" spans="1:8">
      <c r="A12" s="64"/>
      <c r="B12" s="67" t="s">
        <v>127</v>
      </c>
      <c r="C12" s="68"/>
      <c r="D12" s="69"/>
      <c r="E12" s="69"/>
      <c r="F12" s="70"/>
      <c r="G12" s="70">
        <f>G41</f>
        <v>181.68</v>
      </c>
      <c r="H12" s="40"/>
    </row>
    <row r="13" spans="1:8" ht="15.75">
      <c r="A13" s="38"/>
      <c r="B13" s="79" t="s">
        <v>9</v>
      </c>
      <c r="C13" s="80"/>
      <c r="D13" s="80"/>
      <c r="E13" s="80"/>
      <c r="F13" s="80"/>
      <c r="G13" s="81">
        <f>SUM(G12:G12)</f>
        <v>181.68</v>
      </c>
      <c r="H13" s="40"/>
    </row>
    <row r="14" spans="1:8" ht="3" customHeight="1">
      <c r="A14" s="38"/>
      <c r="B14" s="35"/>
      <c r="C14" s="35"/>
      <c r="D14" s="35"/>
      <c r="E14" s="35"/>
      <c r="F14" s="35"/>
      <c r="G14" s="35"/>
      <c r="H14" s="40"/>
    </row>
    <row r="15" spans="1:8" ht="15.75">
      <c r="A15" s="42"/>
      <c r="B15" s="71" t="s">
        <v>117</v>
      </c>
      <c r="C15" s="72">
        <v>4300</v>
      </c>
      <c r="D15" s="36"/>
      <c r="E15" s="36"/>
      <c r="F15" s="35"/>
      <c r="G15" s="177"/>
      <c r="H15" s="43"/>
    </row>
    <row r="16" spans="1:8" ht="15.75">
      <c r="A16" s="44"/>
      <c r="B16" s="71" t="s">
        <v>118</v>
      </c>
      <c r="C16" s="72">
        <f>F41</f>
        <v>3968.3172999999997</v>
      </c>
      <c r="D16" s="35"/>
      <c r="E16" s="35"/>
      <c r="F16" s="35"/>
      <c r="G16" s="35"/>
      <c r="H16" s="43"/>
    </row>
    <row r="17" spans="1:10" ht="15.75">
      <c r="A17" s="44"/>
      <c r="B17" s="71" t="s">
        <v>119</v>
      </c>
      <c r="C17" s="72">
        <f>C15-C16</f>
        <v>331.6827000000003</v>
      </c>
      <c r="D17" s="35"/>
      <c r="E17" s="35"/>
      <c r="F17" s="35"/>
      <c r="G17" s="35"/>
      <c r="H17" s="43"/>
    </row>
    <row r="18" spans="1:10" ht="15.75">
      <c r="A18" s="55"/>
      <c r="B18" s="71" t="s">
        <v>120</v>
      </c>
      <c r="C18" s="72"/>
      <c r="D18" s="35"/>
      <c r="E18" s="35"/>
      <c r="F18" s="35"/>
      <c r="G18" s="35"/>
      <c r="H18" s="43"/>
    </row>
    <row r="19" spans="1:10" ht="15.75">
      <c r="A19" s="55"/>
      <c r="B19" s="71" t="s">
        <v>121</v>
      </c>
      <c r="C19" s="72">
        <f>G13</f>
        <v>181.68</v>
      </c>
      <c r="D19" s="35"/>
      <c r="E19" s="35"/>
      <c r="F19" s="35"/>
      <c r="G19" s="35"/>
      <c r="H19" s="43"/>
    </row>
    <row r="20" spans="1:10" ht="6" customHeight="1">
      <c r="A20" s="55"/>
      <c r="H20" s="43"/>
    </row>
    <row r="21" spans="1:10">
      <c r="A21" s="332" t="s">
        <v>344</v>
      </c>
      <c r="B21" s="333"/>
      <c r="C21" s="334"/>
      <c r="H21" s="43"/>
    </row>
    <row r="22" spans="1:10">
      <c r="A22" s="332" t="s">
        <v>209</v>
      </c>
      <c r="B22" s="333"/>
      <c r="C22" s="334"/>
      <c r="H22" s="43"/>
    </row>
    <row r="23" spans="1:10">
      <c r="A23" s="138" t="s">
        <v>200</v>
      </c>
      <c r="B23" s="139" t="s">
        <v>175</v>
      </c>
      <c r="C23" s="139" t="s">
        <v>260</v>
      </c>
      <c r="D23" s="138" t="s">
        <v>201</v>
      </c>
      <c r="E23" s="174" t="s">
        <v>102</v>
      </c>
      <c r="F23" s="230" t="s">
        <v>211</v>
      </c>
      <c r="G23" s="141" t="s">
        <v>212</v>
      </c>
      <c r="H23" s="43"/>
    </row>
    <row r="24" spans="1:10">
      <c r="A24" s="160" t="s">
        <v>202</v>
      </c>
      <c r="B24" s="156">
        <v>91.417500000000004</v>
      </c>
      <c r="C24" s="156">
        <v>12.31</v>
      </c>
      <c r="D24" s="174" t="s">
        <v>198</v>
      </c>
      <c r="E24" s="146">
        <v>44501</v>
      </c>
      <c r="F24" s="140">
        <v>1074.92</v>
      </c>
      <c r="G24" s="140"/>
      <c r="H24" s="43"/>
      <c r="J24" t="s">
        <v>299</v>
      </c>
    </row>
    <row r="25" spans="1:10">
      <c r="A25" s="160" t="s">
        <v>203</v>
      </c>
      <c r="B25" s="156">
        <v>170.01200000000003</v>
      </c>
      <c r="C25" s="156">
        <v>22.98</v>
      </c>
      <c r="D25" s="174" t="s">
        <v>198</v>
      </c>
      <c r="E25" s="146">
        <v>44531</v>
      </c>
      <c r="F25" s="151">
        <v>1247.6699999999998</v>
      </c>
      <c r="G25" s="140">
        <f t="shared" ref="G25:G30" si="0">F25-F24</f>
        <v>172.74999999999977</v>
      </c>
      <c r="H25" s="43"/>
    </row>
    <row r="26" spans="1:10">
      <c r="A26" s="160" t="s">
        <v>204</v>
      </c>
      <c r="B26" s="156">
        <v>133.50800000000001</v>
      </c>
      <c r="C26" s="156">
        <v>14.22</v>
      </c>
      <c r="D26" s="174" t="s">
        <v>198</v>
      </c>
      <c r="E26" s="186">
        <v>44562</v>
      </c>
      <c r="F26" s="187">
        <v>1890.2673</v>
      </c>
      <c r="G26" s="187">
        <f t="shared" si="0"/>
        <v>642.59730000000013</v>
      </c>
      <c r="H26" s="43"/>
    </row>
    <row r="27" spans="1:10">
      <c r="A27" s="160" t="s">
        <v>205</v>
      </c>
      <c r="B27" s="156">
        <v>538.995</v>
      </c>
      <c r="C27" s="156">
        <v>66.98</v>
      </c>
      <c r="D27" s="174" t="s">
        <v>198</v>
      </c>
      <c r="E27" s="146">
        <v>44593</v>
      </c>
      <c r="F27" s="151">
        <v>2242.8572999999997</v>
      </c>
      <c r="G27" s="151">
        <f t="shared" si="0"/>
        <v>352.58999999999969</v>
      </c>
      <c r="H27" s="43"/>
    </row>
    <row r="28" spans="1:10">
      <c r="A28" s="160" t="s">
        <v>206</v>
      </c>
      <c r="B28" s="156">
        <v>133.50800000000001</v>
      </c>
      <c r="C28" s="156">
        <v>15.29</v>
      </c>
      <c r="D28" s="174" t="s">
        <v>198</v>
      </c>
      <c r="E28" s="146">
        <v>44621</v>
      </c>
      <c r="F28" s="151">
        <v>2676.3672999999999</v>
      </c>
      <c r="G28" s="151">
        <f t="shared" si="0"/>
        <v>433.51000000000022</v>
      </c>
      <c r="H28" s="43"/>
    </row>
    <row r="29" spans="1:10">
      <c r="A29" s="160" t="s">
        <v>207</v>
      </c>
      <c r="B29" s="156">
        <v>170.01200000000003</v>
      </c>
      <c r="C29" s="156">
        <v>15.49</v>
      </c>
      <c r="D29" s="141" t="s">
        <v>198</v>
      </c>
      <c r="E29" s="146">
        <v>44652</v>
      </c>
      <c r="F29" s="151">
        <v>3100.7832999999996</v>
      </c>
      <c r="G29" s="151">
        <f t="shared" si="0"/>
        <v>424.41599999999971</v>
      </c>
      <c r="H29" s="43"/>
    </row>
    <row r="30" spans="1:10">
      <c r="A30" s="160" t="s">
        <v>210</v>
      </c>
      <c r="B30" s="156">
        <v>91.417500000000004</v>
      </c>
      <c r="C30" s="156">
        <v>12.31</v>
      </c>
      <c r="D30" s="141" t="s">
        <v>198</v>
      </c>
      <c r="E30" s="146">
        <v>44682</v>
      </c>
      <c r="F30" s="151">
        <v>3338.1133</v>
      </c>
      <c r="G30" s="151">
        <f t="shared" si="0"/>
        <v>237.33000000000038</v>
      </c>
      <c r="H30" s="43"/>
    </row>
    <row r="31" spans="1:10">
      <c r="A31" s="160" t="s">
        <v>219</v>
      </c>
      <c r="B31" s="156">
        <v>150.52000000000001</v>
      </c>
      <c r="C31" s="156">
        <v>26.5</v>
      </c>
      <c r="D31" s="141" t="s">
        <v>198</v>
      </c>
      <c r="E31" s="146">
        <v>44713</v>
      </c>
      <c r="F31" s="151">
        <v>3351.7132999999994</v>
      </c>
      <c r="G31" s="151">
        <f>F31-F30</f>
        <v>13.599999999999454</v>
      </c>
      <c r="H31" s="43"/>
    </row>
    <row r="32" spans="1:10">
      <c r="A32" s="160" t="s">
        <v>220</v>
      </c>
      <c r="B32" s="156">
        <v>73.378500000000003</v>
      </c>
      <c r="C32" s="156">
        <v>6.54</v>
      </c>
      <c r="D32" s="141" t="s">
        <v>198</v>
      </c>
      <c r="E32" s="146">
        <v>44774</v>
      </c>
      <c r="F32" s="151">
        <v>3628.8108000000002</v>
      </c>
      <c r="G32" s="151">
        <f>F32-F31</f>
        <v>277.09750000000076</v>
      </c>
      <c r="H32" s="43"/>
    </row>
    <row r="33" spans="1:8">
      <c r="A33" s="160" t="s">
        <v>221</v>
      </c>
      <c r="B33" s="156">
        <v>31.42</v>
      </c>
      <c r="C33" s="156">
        <v>20.16</v>
      </c>
      <c r="D33" s="141" t="s">
        <v>198</v>
      </c>
      <c r="E33" s="146">
        <v>44805</v>
      </c>
      <c r="F33" s="151">
        <v>3698.4173000000001</v>
      </c>
      <c r="G33" s="151">
        <f>F33-F32</f>
        <v>69.606499999999869</v>
      </c>
      <c r="H33" s="43"/>
    </row>
    <row r="34" spans="1:8">
      <c r="A34" s="160" t="s">
        <v>222</v>
      </c>
      <c r="B34" s="156">
        <v>292.00880000000001</v>
      </c>
      <c r="C34" s="156">
        <v>42.81</v>
      </c>
      <c r="D34" s="141" t="s">
        <v>198</v>
      </c>
      <c r="E34" s="146">
        <v>44835</v>
      </c>
      <c r="F34" s="151">
        <f>B51</f>
        <v>3786.6372999999999</v>
      </c>
      <c r="G34" s="151">
        <f>F34-F33</f>
        <v>88.2199999999998</v>
      </c>
      <c r="H34" s="43"/>
    </row>
    <row r="35" spans="1:8">
      <c r="A35" s="160" t="s">
        <v>223</v>
      </c>
      <c r="B35" s="156">
        <v>162.81</v>
      </c>
      <c r="C35" s="156">
        <v>5.33</v>
      </c>
      <c r="D35" s="141" t="s">
        <v>198</v>
      </c>
      <c r="H35" s="43"/>
    </row>
    <row r="36" spans="1:8">
      <c r="A36" s="160" t="s">
        <v>246</v>
      </c>
      <c r="B36" s="156">
        <v>77.38</v>
      </c>
      <c r="C36" s="156">
        <v>2.5299999999999998</v>
      </c>
      <c r="D36" s="141" t="s">
        <v>198</v>
      </c>
      <c r="E36" t="s">
        <v>345</v>
      </c>
      <c r="H36" s="43"/>
    </row>
    <row r="37" spans="1:8">
      <c r="A37" s="160" t="s">
        <v>247</v>
      </c>
      <c r="B37" s="156">
        <v>31.42</v>
      </c>
      <c r="C37" s="156">
        <v>20.16</v>
      </c>
      <c r="D37" s="141" t="s">
        <v>198</v>
      </c>
      <c r="E37" t="s">
        <v>346</v>
      </c>
      <c r="H37" s="43"/>
    </row>
    <row r="38" spans="1:8" ht="15.75">
      <c r="A38" s="160" t="s">
        <v>248</v>
      </c>
      <c r="B38" s="156">
        <v>288.44</v>
      </c>
      <c r="C38" s="156">
        <v>31.04</v>
      </c>
      <c r="D38" s="141" t="s">
        <v>198</v>
      </c>
      <c r="E38" t="s">
        <v>347</v>
      </c>
      <c r="H38" s="46"/>
    </row>
    <row r="39" spans="1:8" ht="15.75">
      <c r="A39" s="195" t="s">
        <v>321</v>
      </c>
      <c r="B39" s="156">
        <v>138.51</v>
      </c>
      <c r="C39" s="156"/>
      <c r="D39" s="141" t="s">
        <v>198</v>
      </c>
      <c r="E39" t="s">
        <v>348</v>
      </c>
      <c r="H39" s="46"/>
    </row>
    <row r="40" spans="1:8" ht="15.75">
      <c r="A40" s="195" t="s">
        <v>327</v>
      </c>
      <c r="B40" s="156">
        <v>26.95</v>
      </c>
      <c r="C40" s="156"/>
      <c r="D40" s="141" t="s">
        <v>198</v>
      </c>
      <c r="E40" t="s">
        <v>349</v>
      </c>
      <c r="H40" s="46"/>
    </row>
    <row r="41" spans="1:8" ht="15.75">
      <c r="A41" s="195" t="s">
        <v>281</v>
      </c>
      <c r="B41" s="156">
        <v>72.989999999999995</v>
      </c>
      <c r="C41" s="156"/>
      <c r="D41" s="141" t="s">
        <v>198</v>
      </c>
      <c r="E41" s="236">
        <v>44896</v>
      </c>
      <c r="F41" s="147">
        <f>F34+G41</f>
        <v>3968.3172999999997</v>
      </c>
      <c r="G41">
        <f>4*8*0.15*0.35+180</f>
        <v>181.68</v>
      </c>
      <c r="H41" s="46"/>
    </row>
    <row r="42" spans="1:8" ht="15.75">
      <c r="A42" s="195" t="s">
        <v>330</v>
      </c>
      <c r="B42" s="156">
        <v>88.22</v>
      </c>
      <c r="C42" s="156"/>
      <c r="D42" s="141" t="s">
        <v>198</v>
      </c>
      <c r="H42" s="46"/>
    </row>
    <row r="43" spans="1:8" ht="15" customHeight="1">
      <c r="A43" s="195" t="s">
        <v>282</v>
      </c>
      <c r="B43" s="156">
        <v>67.13</v>
      </c>
      <c r="C43" s="156"/>
      <c r="D43" s="141" t="s">
        <v>198</v>
      </c>
      <c r="H43" s="46"/>
    </row>
    <row r="44" spans="1:8" ht="15" customHeight="1">
      <c r="A44" s="195" t="s">
        <v>296</v>
      </c>
      <c r="B44" s="156">
        <v>275.46000000000004</v>
      </c>
      <c r="C44" s="156"/>
      <c r="D44" s="141" t="s">
        <v>198</v>
      </c>
      <c r="E44" s="236"/>
      <c r="H44" s="46"/>
    </row>
    <row r="45" spans="1:8" ht="15" customHeight="1">
      <c r="A45" s="195" t="s">
        <v>302</v>
      </c>
      <c r="B45" s="156">
        <v>77.930000000000007</v>
      </c>
      <c r="C45" s="156"/>
      <c r="D45" s="141" t="s">
        <v>198</v>
      </c>
      <c r="H45" s="46"/>
    </row>
    <row r="46" spans="1:8" ht="15" customHeight="1">
      <c r="A46" s="195" t="s">
        <v>303</v>
      </c>
      <c r="B46" s="156">
        <v>45.11</v>
      </c>
      <c r="C46" s="156"/>
      <c r="D46" s="141" t="s">
        <v>198</v>
      </c>
      <c r="H46" s="46"/>
    </row>
    <row r="47" spans="1:8" ht="15" customHeight="1">
      <c r="A47" s="195" t="s">
        <v>319</v>
      </c>
      <c r="B47" s="156">
        <v>17.62</v>
      </c>
      <c r="C47" s="156"/>
      <c r="D47" s="141" t="s">
        <v>198</v>
      </c>
      <c r="H47" s="46"/>
    </row>
    <row r="48" spans="1:8" ht="15" customHeight="1">
      <c r="A48" s="195" t="s">
        <v>320</v>
      </c>
      <c r="B48" s="156">
        <f>[3]ÁREAS!$L$27</f>
        <v>107.19</v>
      </c>
      <c r="C48" s="156"/>
      <c r="D48" s="141" t="s">
        <v>198</v>
      </c>
      <c r="H48" s="46"/>
    </row>
    <row r="49" spans="1:8" ht="15" customHeight="1">
      <c r="A49" s="195" t="s">
        <v>322</v>
      </c>
      <c r="B49" s="156">
        <v>97.5</v>
      </c>
      <c r="C49" s="156"/>
      <c r="D49" s="141" t="s">
        <v>198</v>
      </c>
      <c r="H49" s="46"/>
    </row>
    <row r="50" spans="1:8" ht="15" customHeight="1">
      <c r="A50" s="195" t="s">
        <v>323</v>
      </c>
      <c r="B50" s="156">
        <v>21.13</v>
      </c>
      <c r="C50" s="156"/>
      <c r="D50" s="141" t="s">
        <v>198</v>
      </c>
      <c r="H50" s="46"/>
    </row>
    <row r="51" spans="1:8" ht="15.75">
      <c r="A51" s="175" t="s">
        <v>9</v>
      </c>
      <c r="B51" s="335">
        <f>SUM(B24:B50)+SUM(C24:C50)</f>
        <v>3786.6372999999999</v>
      </c>
      <c r="C51" s="335"/>
      <c r="D51" s="176" t="s">
        <v>198</v>
      </c>
      <c r="H51" s="46"/>
    </row>
    <row r="52" spans="1:8" ht="15.75">
      <c r="A52" s="38"/>
      <c r="B52" s="54"/>
      <c r="C52" s="54"/>
      <c r="D52" s="54"/>
      <c r="E52" s="35"/>
      <c r="F52" s="35"/>
      <c r="G52" s="28"/>
      <c r="H52" s="46"/>
    </row>
    <row r="53" spans="1:8" ht="15.75">
      <c r="A53" s="38"/>
      <c r="B53" s="54"/>
      <c r="C53" s="54"/>
      <c r="D53" s="54"/>
      <c r="E53" s="35"/>
      <c r="F53" s="35"/>
      <c r="G53" s="28"/>
      <c r="H53" s="46"/>
    </row>
    <row r="54" spans="1:8" ht="15.75">
      <c r="A54" s="38"/>
      <c r="B54" s="54"/>
      <c r="C54" s="54"/>
      <c r="D54" s="54"/>
      <c r="E54" s="35"/>
      <c r="F54" s="35"/>
      <c r="G54" s="28"/>
      <c r="H54" s="46"/>
    </row>
    <row r="55" spans="1:8" ht="15.75">
      <c r="A55" s="38"/>
      <c r="D55" s="54"/>
      <c r="E55" s="35"/>
      <c r="F55" s="35"/>
      <c r="G55" s="28"/>
      <c r="H55" s="46"/>
    </row>
    <row r="56" spans="1:8" ht="15.75">
      <c r="A56" s="38"/>
      <c r="B56" s="54"/>
      <c r="C56" s="54"/>
      <c r="D56" s="54"/>
      <c r="E56" s="35"/>
      <c r="F56" s="35"/>
      <c r="G56" s="28"/>
      <c r="H56" s="46"/>
    </row>
    <row r="57" spans="1:8" ht="15.75">
      <c r="A57" s="38"/>
      <c r="B57" s="54"/>
      <c r="C57" s="54"/>
      <c r="D57" s="54"/>
      <c r="E57" s="35"/>
      <c r="F57" s="35"/>
      <c r="G57" s="28"/>
      <c r="H57" s="46"/>
    </row>
    <row r="58" spans="1:8" ht="15.75">
      <c r="A58" s="38"/>
      <c r="B58" s="54"/>
      <c r="C58" s="54"/>
      <c r="D58" s="54"/>
      <c r="E58" s="35"/>
      <c r="F58" s="35"/>
      <c r="G58" s="28"/>
      <c r="H58" s="46"/>
    </row>
    <row r="59" spans="1:8" ht="15.75">
      <c r="A59" s="38"/>
      <c r="B59" s="54"/>
      <c r="C59" s="54"/>
      <c r="D59" s="54"/>
      <c r="E59" s="35"/>
      <c r="F59" s="35"/>
      <c r="G59" s="28"/>
      <c r="H59" s="46"/>
    </row>
    <row r="60" spans="1:8" ht="15.75">
      <c r="A60" s="38"/>
      <c r="B60" s="54"/>
      <c r="C60" s="54"/>
      <c r="D60" s="54"/>
      <c r="E60" s="35"/>
      <c r="F60" s="35"/>
      <c r="G60" s="28"/>
      <c r="H60" s="46"/>
    </row>
    <row r="61" spans="1:8" ht="15.75">
      <c r="A61" s="38"/>
      <c r="B61" s="54"/>
      <c r="C61" s="54"/>
      <c r="D61" s="54"/>
      <c r="E61" s="35"/>
      <c r="F61" s="35"/>
      <c r="G61" s="28"/>
      <c r="H61" s="46"/>
    </row>
    <row r="62" spans="1:8" ht="15.75">
      <c r="A62" s="38"/>
      <c r="B62" s="27"/>
      <c r="C62" s="53"/>
      <c r="D62" s="53"/>
      <c r="E62" s="53"/>
      <c r="F62" s="39"/>
      <c r="G62" s="47"/>
      <c r="H62" s="40"/>
    </row>
    <row r="63" spans="1:8" ht="15.75">
      <c r="A63" s="73" t="s">
        <v>122</v>
      </c>
      <c r="B63" s="74"/>
      <c r="C63" s="75"/>
      <c r="D63" s="76"/>
      <c r="E63" s="77"/>
      <c r="F63" s="75"/>
      <c r="G63" s="75"/>
      <c r="H63" s="78"/>
    </row>
    <row r="64" spans="1:8" ht="15" customHeight="1">
      <c r="A64" s="313" t="s">
        <v>146</v>
      </c>
      <c r="B64" s="314"/>
      <c r="C64" s="314"/>
      <c r="D64" s="314"/>
      <c r="E64" s="314"/>
      <c r="F64" s="314"/>
      <c r="G64" s="314"/>
      <c r="H64" s="315"/>
    </row>
    <row r="65" spans="1:8" ht="15.75">
      <c r="A65" s="48"/>
      <c r="B65" s="33"/>
      <c r="C65" s="49"/>
      <c r="D65" s="49"/>
      <c r="E65" s="49"/>
      <c r="F65" s="50"/>
      <c r="G65" s="51"/>
      <c r="H65" s="52"/>
    </row>
    <row r="66" spans="1:8">
      <c r="A66" s="27"/>
      <c r="B66" s="29"/>
      <c r="C66" s="30"/>
      <c r="D66" s="31"/>
      <c r="E66" s="32"/>
      <c r="F66" s="30"/>
      <c r="G66" s="30"/>
      <c r="H66" s="30"/>
    </row>
  </sheetData>
  <mergeCells count="11">
    <mergeCell ref="A64:H64"/>
    <mergeCell ref="C9:E9"/>
    <mergeCell ref="A2:H2"/>
    <mergeCell ref="A3:H3"/>
    <mergeCell ref="A4:H4"/>
    <mergeCell ref="B6:H6"/>
    <mergeCell ref="B7:H7"/>
    <mergeCell ref="B8:F8"/>
    <mergeCell ref="A21:C21"/>
    <mergeCell ref="A22:C22"/>
    <mergeCell ref="B51:C51"/>
  </mergeCells>
  <phoneticPr fontId="54" type="noConversion"/>
  <pageMargins left="0.51181102362204722" right="0.51181102362204722" top="0.78740157480314965" bottom="0.78740157480314965" header="0.31496062992125984" footer="0.31496062992125984"/>
  <pageSetup paperSize="9" scale="76" orientation="portrait" r:id="rId1"/>
  <drawing r:id="rId2"/>
</worksheet>
</file>

<file path=xl/worksheets/sheet20.xml><?xml version="1.0" encoding="utf-8"?>
<worksheet xmlns="http://schemas.openxmlformats.org/spreadsheetml/2006/main" xmlns:r="http://schemas.openxmlformats.org/officeDocument/2006/relationships">
  <sheetPr>
    <pageSetUpPr fitToPage="1"/>
  </sheetPr>
  <dimension ref="A1:H65"/>
  <sheetViews>
    <sheetView view="pageBreakPreview" zoomScaleSheetLayoutView="100" workbookViewId="0">
      <selection activeCell="G13" sqref="G13"/>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10.85546875" customWidth="1"/>
  </cols>
  <sheetData>
    <row r="1" spans="1:8" ht="14.25" customHeight="1">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ht="3" customHeight="1">
      <c r="A5" s="34"/>
      <c r="B5" s="35"/>
      <c r="C5" s="36"/>
      <c r="D5" s="36"/>
      <c r="E5" s="26"/>
      <c r="F5" s="36"/>
      <c r="G5" s="36"/>
      <c r="H5" s="37"/>
    </row>
    <row r="6" spans="1:8">
      <c r="A6" s="59">
        <v>2</v>
      </c>
      <c r="B6" s="326" t="s">
        <v>179</v>
      </c>
      <c r="C6" s="326"/>
      <c r="D6" s="326"/>
      <c r="E6" s="326"/>
      <c r="F6" s="326"/>
      <c r="G6" s="326"/>
      <c r="H6" s="327"/>
    </row>
    <row r="7" spans="1:8" ht="64.5" customHeight="1">
      <c r="A7" s="60">
        <v>211</v>
      </c>
      <c r="B7" s="390" t="s">
        <v>81</v>
      </c>
      <c r="C7" s="390"/>
      <c r="D7" s="390"/>
      <c r="E7" s="390"/>
      <c r="F7" s="390"/>
      <c r="G7" s="390"/>
      <c r="H7" s="391"/>
    </row>
    <row r="8" spans="1:8" ht="15.75" customHeight="1">
      <c r="A8" s="61"/>
      <c r="B8" s="330"/>
      <c r="C8" s="331"/>
      <c r="D8" s="331"/>
      <c r="E8" s="331"/>
      <c r="F8" s="331"/>
      <c r="G8" s="62" t="s">
        <v>124</v>
      </c>
      <c r="H8" s="82" t="s">
        <v>198</v>
      </c>
    </row>
    <row r="9" spans="1:8" ht="0.75" customHeight="1">
      <c r="A9" s="38"/>
      <c r="B9" s="27"/>
      <c r="C9" s="316"/>
      <c r="D9" s="316"/>
      <c r="E9" s="316"/>
      <c r="F9" s="39"/>
      <c r="G9" s="53"/>
      <c r="H9" s="40"/>
    </row>
    <row r="10" spans="1:8">
      <c r="B10" s="194" t="s">
        <v>113</v>
      </c>
      <c r="C10" s="340" t="s">
        <v>309</v>
      </c>
      <c r="D10" s="340"/>
      <c r="E10" s="53"/>
      <c r="F10" s="39"/>
      <c r="G10" s="53"/>
      <c r="H10" s="40"/>
    </row>
    <row r="11" spans="1:8" ht="15.75">
      <c r="A11" s="38"/>
      <c r="B11" s="65" t="s">
        <v>114</v>
      </c>
      <c r="C11" s="65" t="s">
        <v>44</v>
      </c>
      <c r="D11" s="65"/>
      <c r="E11" s="66"/>
      <c r="F11" s="66"/>
      <c r="G11" s="66" t="s">
        <v>9</v>
      </c>
      <c r="H11" s="40"/>
    </row>
    <row r="12" spans="1:8">
      <c r="A12" s="64"/>
      <c r="B12" s="67" t="s">
        <v>355</v>
      </c>
      <c r="C12" s="68"/>
      <c r="D12" s="83"/>
      <c r="E12" s="69"/>
      <c r="F12" s="70"/>
      <c r="G12" s="70">
        <v>181.68</v>
      </c>
      <c r="H12" s="40"/>
    </row>
    <row r="13" spans="1:8" ht="15.75">
      <c r="A13" s="38"/>
      <c r="B13" s="79" t="s">
        <v>9</v>
      </c>
      <c r="C13" s="80"/>
      <c r="D13" s="80"/>
      <c r="E13" s="80"/>
      <c r="F13" s="80"/>
      <c r="G13" s="81">
        <f>G12</f>
        <v>181.68</v>
      </c>
      <c r="H13" s="40"/>
    </row>
    <row r="14" spans="1:8">
      <c r="A14" s="38"/>
      <c r="B14" s="35"/>
      <c r="C14" s="35"/>
      <c r="D14" s="35"/>
      <c r="E14" s="35"/>
      <c r="F14" s="35"/>
      <c r="G14" s="35"/>
      <c r="H14" s="40"/>
    </row>
    <row r="15" spans="1:8" ht="15.75">
      <c r="A15" s="42"/>
      <c r="B15" s="71" t="s">
        <v>117</v>
      </c>
      <c r="C15" s="72">
        <v>400</v>
      </c>
      <c r="D15" s="35"/>
      <c r="E15" s="35"/>
      <c r="F15" s="35"/>
      <c r="G15" s="35"/>
      <c r="H15" s="43"/>
    </row>
    <row r="16" spans="1:8" ht="15.75">
      <c r="A16" s="44"/>
      <c r="B16" s="71" t="s">
        <v>118</v>
      </c>
      <c r="C16" s="72">
        <f>G13</f>
        <v>181.68</v>
      </c>
      <c r="D16" s="35"/>
      <c r="E16" s="35"/>
      <c r="F16" s="35"/>
      <c r="G16" s="35"/>
      <c r="H16" s="43"/>
    </row>
    <row r="17" spans="1:8" ht="15.75">
      <c r="A17" s="44"/>
      <c r="B17" s="71" t="s">
        <v>119</v>
      </c>
      <c r="C17" s="72">
        <f>C15-C16</f>
        <v>218.32</v>
      </c>
      <c r="D17" s="35"/>
      <c r="E17" s="35"/>
      <c r="F17" s="35"/>
      <c r="G17" s="35"/>
      <c r="H17" s="43"/>
    </row>
    <row r="18" spans="1:8" ht="15.75">
      <c r="A18" s="55"/>
      <c r="B18" s="71" t="s">
        <v>120</v>
      </c>
      <c r="C18" s="72"/>
      <c r="D18" s="35"/>
      <c r="E18" s="35"/>
      <c r="F18" s="35"/>
      <c r="G18" s="35"/>
      <c r="H18" s="43"/>
    </row>
    <row r="19" spans="1:8" ht="15.75">
      <c r="A19" s="55"/>
      <c r="B19" s="71" t="s">
        <v>121</v>
      </c>
      <c r="C19" s="72">
        <f>G12</f>
        <v>181.68</v>
      </c>
      <c r="D19" s="35"/>
      <c r="E19" s="35"/>
      <c r="F19" s="35"/>
      <c r="G19" s="35"/>
      <c r="H19" s="43"/>
    </row>
    <row r="20" spans="1:8" ht="15.75">
      <c r="A20" s="55"/>
      <c r="B20" s="135"/>
      <c r="C20" s="136"/>
      <c r="D20" s="35"/>
      <c r="E20" s="35"/>
      <c r="F20" s="35"/>
      <c r="G20" s="35"/>
      <c r="H20" s="43"/>
    </row>
    <row r="21" spans="1:8">
      <c r="A21" s="55"/>
      <c r="B21" s="336" t="s">
        <v>344</v>
      </c>
      <c r="C21" s="337"/>
      <c r="D21" s="338"/>
      <c r="H21" s="43"/>
    </row>
    <row r="22" spans="1:8">
      <c r="A22" s="55"/>
      <c r="B22" s="336" t="s">
        <v>356</v>
      </c>
      <c r="C22" s="337"/>
      <c r="D22" s="338"/>
      <c r="F22" s="222" t="s">
        <v>157</v>
      </c>
      <c r="G22" s="141" t="s">
        <v>213</v>
      </c>
      <c r="H22" s="43"/>
    </row>
    <row r="23" spans="1:8">
      <c r="A23" s="55"/>
      <c r="B23" s="138" t="s">
        <v>200</v>
      </c>
      <c r="C23" s="139" t="s">
        <v>365</v>
      </c>
      <c r="D23" s="139" t="s">
        <v>366</v>
      </c>
      <c r="E23" s="223" t="s">
        <v>201</v>
      </c>
      <c r="F23" s="153"/>
      <c r="G23" s="141"/>
      <c r="H23" s="43"/>
    </row>
    <row r="24" spans="1:8">
      <c r="A24" s="55"/>
      <c r="B24" s="160" t="s">
        <v>357</v>
      </c>
      <c r="C24" s="156">
        <v>67</v>
      </c>
      <c r="D24" s="156">
        <v>67</v>
      </c>
      <c r="E24" s="174" t="s">
        <v>198</v>
      </c>
      <c r="F24" s="153"/>
      <c r="G24" s="148"/>
      <c r="H24" s="148"/>
    </row>
    <row r="25" spans="1:8">
      <c r="A25" s="55"/>
      <c r="B25" s="160" t="s">
        <v>358</v>
      </c>
      <c r="C25" s="156">
        <v>40</v>
      </c>
      <c r="D25" s="156">
        <v>20</v>
      </c>
      <c r="E25" s="174" t="s">
        <v>198</v>
      </c>
      <c r="F25" s="190"/>
      <c r="G25" s="187"/>
      <c r="H25" s="187"/>
    </row>
    <row r="26" spans="1:8">
      <c r="A26" s="55"/>
      <c r="B26" s="160" t="s">
        <v>359</v>
      </c>
      <c r="C26" s="156">
        <v>40</v>
      </c>
      <c r="D26" s="156">
        <v>20</v>
      </c>
      <c r="E26" s="174" t="s">
        <v>198</v>
      </c>
      <c r="F26" s="190"/>
      <c r="G26" s="151"/>
      <c r="H26" s="151"/>
    </row>
    <row r="27" spans="1:8">
      <c r="A27" s="55"/>
      <c r="B27" s="160" t="s">
        <v>360</v>
      </c>
      <c r="C27" s="156">
        <v>40</v>
      </c>
      <c r="D27" s="156">
        <v>20</v>
      </c>
      <c r="E27" s="174" t="s">
        <v>198</v>
      </c>
      <c r="F27" s="190"/>
      <c r="G27" s="151"/>
      <c r="H27" s="151"/>
    </row>
    <row r="28" spans="1:8">
      <c r="A28" s="55"/>
      <c r="B28" s="160" t="s">
        <v>361</v>
      </c>
      <c r="C28" s="156">
        <v>40</v>
      </c>
      <c r="D28" s="156">
        <v>20</v>
      </c>
      <c r="E28" s="174" t="s">
        <v>198</v>
      </c>
      <c r="F28" s="190"/>
      <c r="G28" s="151"/>
      <c r="H28" s="151"/>
    </row>
    <row r="29" spans="1:8">
      <c r="A29" s="55"/>
      <c r="B29" s="160" t="s">
        <v>362</v>
      </c>
      <c r="C29" s="156">
        <v>40</v>
      </c>
      <c r="D29" s="156">
        <v>20</v>
      </c>
      <c r="E29" s="141" t="s">
        <v>198</v>
      </c>
      <c r="F29" s="190"/>
      <c r="G29" s="151"/>
      <c r="H29" s="151"/>
    </row>
    <row r="30" spans="1:8">
      <c r="A30" s="55"/>
      <c r="B30" s="160" t="s">
        <v>363</v>
      </c>
      <c r="C30" s="156">
        <v>40</v>
      </c>
      <c r="D30" s="156">
        <v>20</v>
      </c>
      <c r="E30" s="141" t="s">
        <v>198</v>
      </c>
      <c r="F30" s="190"/>
      <c r="G30" s="151"/>
      <c r="H30" s="151"/>
    </row>
    <row r="31" spans="1:8">
      <c r="A31" s="55"/>
      <c r="B31" s="160" t="s">
        <v>364</v>
      </c>
      <c r="C31" s="156">
        <v>40</v>
      </c>
      <c r="D31" s="156">
        <v>20</v>
      </c>
      <c r="E31" s="141" t="s">
        <v>198</v>
      </c>
      <c r="F31" s="190"/>
      <c r="G31" s="151"/>
      <c r="H31" s="151"/>
    </row>
    <row r="32" spans="1:8">
      <c r="A32" s="55"/>
      <c r="B32" s="160">
        <v>4</v>
      </c>
      <c r="C32" s="156"/>
      <c r="D32" s="156"/>
      <c r="E32" s="141" t="s">
        <v>198</v>
      </c>
      <c r="F32" s="146"/>
      <c r="G32" s="151"/>
      <c r="H32" s="151"/>
    </row>
    <row r="33" spans="1:8">
      <c r="A33" s="55"/>
      <c r="B33" s="160"/>
      <c r="C33" s="156"/>
      <c r="D33" s="156"/>
      <c r="E33" s="141" t="s">
        <v>198</v>
      </c>
      <c r="F33" s="146"/>
      <c r="G33" s="151"/>
      <c r="H33" s="151">
        <f>G33-G32</f>
        <v>0</v>
      </c>
    </row>
    <row r="34" spans="1:8">
      <c r="A34" s="55"/>
      <c r="B34" s="160"/>
      <c r="C34" s="156"/>
      <c r="D34" s="156"/>
      <c r="E34" s="141" t="s">
        <v>198</v>
      </c>
      <c r="F34" s="146"/>
      <c r="G34" s="151"/>
      <c r="H34" s="151">
        <f>G34-G33</f>
        <v>0</v>
      </c>
    </row>
    <row r="35" spans="1:8">
      <c r="A35" s="55"/>
      <c r="B35" s="160"/>
      <c r="C35" s="156"/>
      <c r="D35" s="156"/>
      <c r="E35" s="141" t="s">
        <v>198</v>
      </c>
      <c r="G35" s="147"/>
      <c r="H35" s="188"/>
    </row>
    <row r="36" spans="1:8">
      <c r="A36" s="55"/>
      <c r="B36" s="160"/>
      <c r="C36" s="156"/>
      <c r="D36" s="156"/>
      <c r="E36" s="141" t="s">
        <v>198</v>
      </c>
      <c r="F36" s="380"/>
      <c r="G36" s="380"/>
      <c r="H36" s="381"/>
    </row>
    <row r="37" spans="1:8">
      <c r="A37" s="55"/>
      <c r="B37" s="160"/>
      <c r="C37" s="156"/>
      <c r="D37" s="156"/>
      <c r="E37" s="141" t="s">
        <v>198</v>
      </c>
      <c r="F37" s="380"/>
      <c r="G37" s="380"/>
      <c r="H37" s="381"/>
    </row>
    <row r="38" spans="1:8">
      <c r="A38" s="55"/>
      <c r="B38" s="160"/>
      <c r="C38" s="156"/>
      <c r="D38" s="156"/>
      <c r="E38" s="141" t="s">
        <v>198</v>
      </c>
      <c r="H38" s="188"/>
    </row>
    <row r="39" spans="1:8">
      <c r="A39" s="55"/>
      <c r="B39" s="195"/>
      <c r="C39" s="156"/>
      <c r="D39" s="156"/>
      <c r="E39" s="141" t="s">
        <v>198</v>
      </c>
      <c r="H39" s="188"/>
    </row>
    <row r="40" spans="1:8" ht="15" customHeight="1">
      <c r="A40" s="55"/>
      <c r="B40" s="195"/>
      <c r="C40" s="156"/>
      <c r="D40" s="156"/>
      <c r="E40" s="141" t="s">
        <v>198</v>
      </c>
      <c r="F40" s="147"/>
      <c r="H40" s="188"/>
    </row>
    <row r="41" spans="1:8" ht="15" customHeight="1">
      <c r="A41" s="55"/>
      <c r="B41" s="195"/>
      <c r="C41" s="156"/>
      <c r="D41" s="156"/>
      <c r="E41" s="141" t="s">
        <v>198</v>
      </c>
      <c r="H41" s="188"/>
    </row>
    <row r="42" spans="1:8" ht="15" customHeight="1">
      <c r="A42" s="55"/>
      <c r="B42" s="195"/>
      <c r="C42" s="156"/>
      <c r="D42" s="156"/>
      <c r="E42" s="141" t="s">
        <v>198</v>
      </c>
      <c r="G42" s="147"/>
      <c r="H42" s="188"/>
    </row>
    <row r="43" spans="1:8" ht="15" customHeight="1">
      <c r="A43" s="55"/>
      <c r="B43" s="195"/>
      <c r="C43" s="156"/>
      <c r="D43" s="156"/>
      <c r="E43" s="141" t="s">
        <v>198</v>
      </c>
      <c r="G43" s="147"/>
      <c r="H43" s="188"/>
    </row>
    <row r="44" spans="1:8">
      <c r="A44" s="55"/>
      <c r="B44" s="195"/>
      <c r="C44" s="156"/>
      <c r="D44" s="156"/>
      <c r="E44" s="141" t="s">
        <v>198</v>
      </c>
      <c r="G44" s="147"/>
      <c r="H44" s="188"/>
    </row>
    <row r="45" spans="1:8" ht="15" customHeight="1">
      <c r="A45" s="55"/>
      <c r="B45" s="195"/>
      <c r="C45" s="156"/>
      <c r="D45" s="156"/>
      <c r="E45" s="141" t="s">
        <v>198</v>
      </c>
      <c r="G45" s="147"/>
      <c r="H45" s="188"/>
    </row>
    <row r="46" spans="1:8">
      <c r="A46" s="55"/>
      <c r="B46" s="195"/>
      <c r="C46" s="156"/>
      <c r="D46" s="156"/>
      <c r="E46" s="141" t="s">
        <v>198</v>
      </c>
      <c r="G46" s="147"/>
      <c r="H46" s="188"/>
    </row>
    <row r="47" spans="1:8">
      <c r="A47" s="55"/>
      <c r="B47" s="195"/>
      <c r="C47" s="156"/>
      <c r="D47" s="156"/>
      <c r="E47" s="141" t="s">
        <v>198</v>
      </c>
      <c r="G47" s="147"/>
      <c r="H47" s="188"/>
    </row>
    <row r="48" spans="1:8">
      <c r="A48" s="55"/>
      <c r="B48" s="195"/>
      <c r="C48" s="156"/>
      <c r="D48" s="156"/>
      <c r="E48" s="141" t="s">
        <v>198</v>
      </c>
      <c r="F48" s="147"/>
      <c r="H48" s="43"/>
    </row>
    <row r="49" spans="1:8">
      <c r="A49" s="55"/>
      <c r="B49" s="195"/>
      <c r="C49" s="156"/>
      <c r="D49" s="156"/>
      <c r="E49" s="141" t="s">
        <v>198</v>
      </c>
      <c r="F49" s="147"/>
      <c r="H49" s="43"/>
    </row>
    <row r="50" spans="1:8">
      <c r="A50" s="55"/>
      <c r="B50" s="195"/>
      <c r="C50" s="156"/>
      <c r="D50" s="156"/>
      <c r="E50" s="141" t="s">
        <v>198</v>
      </c>
      <c r="F50" s="147"/>
      <c r="H50" s="43"/>
    </row>
    <row r="51" spans="1:8">
      <c r="A51" s="55"/>
      <c r="B51" s="175" t="s">
        <v>9</v>
      </c>
      <c r="C51" s="335">
        <f>SUM(D24:D50)</f>
        <v>207</v>
      </c>
      <c r="D51" s="335"/>
      <c r="E51" s="176" t="s">
        <v>198</v>
      </c>
      <c r="F51" s="147"/>
      <c r="H51" s="43"/>
    </row>
    <row r="52" spans="1:8">
      <c r="A52" s="55"/>
      <c r="B52" s="170"/>
      <c r="C52" s="168"/>
      <c r="D52" s="169"/>
      <c r="H52" s="43"/>
    </row>
    <row r="53" spans="1:8" ht="15.75">
      <c r="A53" s="55"/>
      <c r="B53" s="135"/>
      <c r="C53" s="136"/>
      <c r="D53" s="35"/>
      <c r="E53" s="35"/>
      <c r="F53" s="35"/>
      <c r="G53" s="35"/>
      <c r="H53" s="43"/>
    </row>
    <row r="54" spans="1:8" ht="15.75">
      <c r="A54" s="38"/>
      <c r="B54" s="54"/>
      <c r="C54" s="54"/>
      <c r="D54" s="54"/>
      <c r="E54" s="35"/>
      <c r="F54" s="35"/>
      <c r="G54" s="28"/>
      <c r="H54" s="46"/>
    </row>
    <row r="55" spans="1:8" ht="15.75">
      <c r="A55" s="38"/>
      <c r="B55" s="54"/>
      <c r="C55" s="54"/>
      <c r="D55" s="54"/>
      <c r="E55" s="35"/>
      <c r="F55" s="35"/>
      <c r="G55" s="28"/>
      <c r="H55" s="46"/>
    </row>
    <row r="56" spans="1:8" ht="15.75">
      <c r="A56" s="38"/>
      <c r="D56" s="54"/>
      <c r="E56" s="35"/>
      <c r="F56" s="35"/>
      <c r="G56" s="28"/>
      <c r="H56" s="46"/>
    </row>
    <row r="57" spans="1:8" ht="15.75">
      <c r="A57" s="38"/>
      <c r="B57" s="54"/>
      <c r="C57" s="54"/>
      <c r="D57" s="54"/>
      <c r="E57" s="35"/>
      <c r="F57" s="35"/>
      <c r="G57" s="28"/>
      <c r="H57" s="46"/>
    </row>
    <row r="58" spans="1:8" ht="15.75">
      <c r="A58" s="38"/>
      <c r="B58" s="54"/>
      <c r="C58" s="54"/>
      <c r="D58" s="54"/>
      <c r="E58" s="35"/>
      <c r="F58" s="35"/>
      <c r="G58" s="28"/>
      <c r="H58" s="46"/>
    </row>
    <row r="59" spans="1:8" ht="15.75">
      <c r="A59" s="38"/>
      <c r="B59" s="54"/>
      <c r="C59" s="54"/>
      <c r="D59" s="54"/>
      <c r="E59" s="35"/>
      <c r="F59" s="35"/>
      <c r="G59" s="28"/>
      <c r="H59" s="46"/>
    </row>
    <row r="60" spans="1:8" ht="15.75">
      <c r="A60" s="38"/>
      <c r="B60" s="54"/>
      <c r="C60" s="54"/>
      <c r="D60" s="54"/>
      <c r="E60" s="35"/>
      <c r="F60" s="35"/>
      <c r="G60" s="28"/>
      <c r="H60" s="46"/>
    </row>
    <row r="61" spans="1:8" ht="15.75">
      <c r="A61" s="38"/>
      <c r="B61" s="54"/>
      <c r="C61" s="54"/>
      <c r="D61" s="54"/>
      <c r="E61" s="35"/>
      <c r="F61" s="35"/>
      <c r="G61" s="28"/>
      <c r="H61" s="46"/>
    </row>
    <row r="62" spans="1:8" ht="15.75">
      <c r="A62" s="73" t="s">
        <v>122</v>
      </c>
      <c r="B62" s="74"/>
      <c r="C62" s="75"/>
      <c r="D62" s="76"/>
      <c r="E62" s="77"/>
      <c r="F62" s="75"/>
      <c r="G62" s="75"/>
      <c r="H62" s="78"/>
    </row>
    <row r="63" spans="1:8" ht="15" customHeight="1">
      <c r="A63" s="313" t="s">
        <v>191</v>
      </c>
      <c r="B63" s="314"/>
      <c r="C63" s="314"/>
      <c r="D63" s="314"/>
      <c r="E63" s="314"/>
      <c r="F63" s="314"/>
      <c r="G63" s="314"/>
      <c r="H63" s="315"/>
    </row>
    <row r="64" spans="1:8" ht="15.75">
      <c r="A64" s="48"/>
      <c r="B64" s="33"/>
      <c r="C64" s="49"/>
      <c r="D64" s="49"/>
      <c r="E64" s="49"/>
      <c r="F64" s="50"/>
      <c r="G64" s="51"/>
      <c r="H64" s="52"/>
    </row>
    <row r="65" spans="1:8">
      <c r="A65" s="27"/>
      <c r="B65" s="29"/>
      <c r="C65" s="30"/>
      <c r="D65" s="31"/>
      <c r="E65" s="32"/>
      <c r="F65" s="30"/>
      <c r="G65" s="30"/>
      <c r="H65" s="30"/>
    </row>
  </sheetData>
  <mergeCells count="13">
    <mergeCell ref="B8:F8"/>
    <mergeCell ref="A2:H2"/>
    <mergeCell ref="A3:H3"/>
    <mergeCell ref="A4:H4"/>
    <mergeCell ref="B6:H6"/>
    <mergeCell ref="B7:H7"/>
    <mergeCell ref="A63:H63"/>
    <mergeCell ref="C9:E9"/>
    <mergeCell ref="C10:D10"/>
    <mergeCell ref="B21:D21"/>
    <mergeCell ref="B22:D22"/>
    <mergeCell ref="F36:H37"/>
    <mergeCell ref="C51:D51"/>
  </mergeCells>
  <pageMargins left="0.51181102362204722" right="0.51181102362204722" top="0.78740157480314965" bottom="0.78740157480314965" header="0.31496062992125984" footer="0.31496062992125984"/>
  <pageSetup paperSize="9" scale="75" orientation="portrait" r:id="rId1"/>
  <drawing r:id="rId2"/>
</worksheet>
</file>

<file path=xl/worksheets/sheet21.xml><?xml version="1.0" encoding="utf-8"?>
<worksheet xmlns="http://schemas.openxmlformats.org/spreadsheetml/2006/main" xmlns:r="http://schemas.openxmlformats.org/officeDocument/2006/relationships">
  <sheetPr codeName="Planilha6">
    <pageSetUpPr fitToPage="1"/>
  </sheetPr>
  <dimension ref="A1:E48"/>
  <sheetViews>
    <sheetView showGridLines="0" view="pageBreakPreview" zoomScaleSheetLayoutView="100" workbookViewId="0">
      <selection activeCell="B18" sqref="B18:D18"/>
    </sheetView>
  </sheetViews>
  <sheetFormatPr defaultRowHeight="16.5"/>
  <cols>
    <col min="1" max="1" width="12.28515625" style="2" customWidth="1"/>
    <col min="2" max="2" width="58.7109375" style="6" bestFit="1" customWidth="1"/>
    <col min="3" max="3" width="13.85546875" style="2" customWidth="1"/>
    <col min="4" max="4" width="17.5703125" style="6" customWidth="1"/>
    <col min="5" max="5" width="10.7109375" style="6" customWidth="1"/>
    <col min="6" max="256" width="9.140625" style="6"/>
    <col min="257" max="257" width="10.7109375" style="6" customWidth="1"/>
    <col min="258" max="258" width="58.7109375" style="6" bestFit="1" customWidth="1"/>
    <col min="259" max="259" width="13.28515625" style="6" bestFit="1" customWidth="1"/>
    <col min="260" max="260" width="10" style="6" customWidth="1"/>
    <col min="261" max="261" width="20.42578125" style="6" customWidth="1"/>
    <col min="262" max="512" width="9.140625" style="6"/>
    <col min="513" max="513" width="10.7109375" style="6" customWidth="1"/>
    <col min="514" max="514" width="58.7109375" style="6" bestFit="1" customWidth="1"/>
    <col min="515" max="515" width="13.28515625" style="6" bestFit="1" customWidth="1"/>
    <col min="516" max="516" width="10" style="6" customWidth="1"/>
    <col min="517" max="517" width="20.42578125" style="6" customWidth="1"/>
    <col min="518" max="768" width="9.140625" style="6"/>
    <col min="769" max="769" width="10.7109375" style="6" customWidth="1"/>
    <col min="770" max="770" width="58.7109375" style="6" bestFit="1" customWidth="1"/>
    <col min="771" max="771" width="13.28515625" style="6" bestFit="1" customWidth="1"/>
    <col min="772" max="772" width="10" style="6" customWidth="1"/>
    <col min="773" max="773" width="20.42578125" style="6" customWidth="1"/>
    <col min="774" max="1024" width="9.140625" style="6"/>
    <col min="1025" max="1025" width="10.7109375" style="6" customWidth="1"/>
    <col min="1026" max="1026" width="58.7109375" style="6" bestFit="1" customWidth="1"/>
    <col min="1027" max="1027" width="13.28515625" style="6" bestFit="1" customWidth="1"/>
    <col min="1028" max="1028" width="10" style="6" customWidth="1"/>
    <col min="1029" max="1029" width="20.42578125" style="6" customWidth="1"/>
    <col min="1030" max="1280" width="9.140625" style="6"/>
    <col min="1281" max="1281" width="10.7109375" style="6" customWidth="1"/>
    <col min="1282" max="1282" width="58.7109375" style="6" bestFit="1" customWidth="1"/>
    <col min="1283" max="1283" width="13.28515625" style="6" bestFit="1" customWidth="1"/>
    <col min="1284" max="1284" width="10" style="6" customWidth="1"/>
    <col min="1285" max="1285" width="20.42578125" style="6" customWidth="1"/>
    <col min="1286" max="1536" width="9.140625" style="6"/>
    <col min="1537" max="1537" width="10.7109375" style="6" customWidth="1"/>
    <col min="1538" max="1538" width="58.7109375" style="6" bestFit="1" customWidth="1"/>
    <col min="1539" max="1539" width="13.28515625" style="6" bestFit="1" customWidth="1"/>
    <col min="1540" max="1540" width="10" style="6" customWidth="1"/>
    <col min="1541" max="1541" width="20.42578125" style="6" customWidth="1"/>
    <col min="1542" max="1792" width="9.140625" style="6"/>
    <col min="1793" max="1793" width="10.7109375" style="6" customWidth="1"/>
    <col min="1794" max="1794" width="58.7109375" style="6" bestFit="1" customWidth="1"/>
    <col min="1795" max="1795" width="13.28515625" style="6" bestFit="1" customWidth="1"/>
    <col min="1796" max="1796" width="10" style="6" customWidth="1"/>
    <col min="1797" max="1797" width="20.42578125" style="6" customWidth="1"/>
    <col min="1798" max="2048" width="9.140625" style="6"/>
    <col min="2049" max="2049" width="10.7109375" style="6" customWidth="1"/>
    <col min="2050" max="2050" width="58.7109375" style="6" bestFit="1" customWidth="1"/>
    <col min="2051" max="2051" width="13.28515625" style="6" bestFit="1" customWidth="1"/>
    <col min="2052" max="2052" width="10" style="6" customWidth="1"/>
    <col min="2053" max="2053" width="20.42578125" style="6" customWidth="1"/>
    <col min="2054" max="2304" width="9.140625" style="6"/>
    <col min="2305" max="2305" width="10.7109375" style="6" customWidth="1"/>
    <col min="2306" max="2306" width="58.7109375" style="6" bestFit="1" customWidth="1"/>
    <col min="2307" max="2307" width="13.28515625" style="6" bestFit="1" customWidth="1"/>
    <col min="2308" max="2308" width="10" style="6" customWidth="1"/>
    <col min="2309" max="2309" width="20.42578125" style="6" customWidth="1"/>
    <col min="2310" max="2560" width="9.140625" style="6"/>
    <col min="2561" max="2561" width="10.7109375" style="6" customWidth="1"/>
    <col min="2562" max="2562" width="58.7109375" style="6" bestFit="1" customWidth="1"/>
    <col min="2563" max="2563" width="13.28515625" style="6" bestFit="1" customWidth="1"/>
    <col min="2564" max="2564" width="10" style="6" customWidth="1"/>
    <col min="2565" max="2565" width="20.42578125" style="6" customWidth="1"/>
    <col min="2566" max="2816" width="9.140625" style="6"/>
    <col min="2817" max="2817" width="10.7109375" style="6" customWidth="1"/>
    <col min="2818" max="2818" width="58.7109375" style="6" bestFit="1" customWidth="1"/>
    <col min="2819" max="2819" width="13.28515625" style="6" bestFit="1" customWidth="1"/>
    <col min="2820" max="2820" width="10" style="6" customWidth="1"/>
    <col min="2821" max="2821" width="20.42578125" style="6" customWidth="1"/>
    <col min="2822" max="3072" width="9.140625" style="6"/>
    <col min="3073" max="3073" width="10.7109375" style="6" customWidth="1"/>
    <col min="3074" max="3074" width="58.7109375" style="6" bestFit="1" customWidth="1"/>
    <col min="3075" max="3075" width="13.28515625" style="6" bestFit="1" customWidth="1"/>
    <col min="3076" max="3076" width="10" style="6" customWidth="1"/>
    <col min="3077" max="3077" width="20.42578125" style="6" customWidth="1"/>
    <col min="3078" max="3328" width="9.140625" style="6"/>
    <col min="3329" max="3329" width="10.7109375" style="6" customWidth="1"/>
    <col min="3330" max="3330" width="58.7109375" style="6" bestFit="1" customWidth="1"/>
    <col min="3331" max="3331" width="13.28515625" style="6" bestFit="1" customWidth="1"/>
    <col min="3332" max="3332" width="10" style="6" customWidth="1"/>
    <col min="3333" max="3333" width="20.42578125" style="6" customWidth="1"/>
    <col min="3334" max="3584" width="9.140625" style="6"/>
    <col min="3585" max="3585" width="10.7109375" style="6" customWidth="1"/>
    <col min="3586" max="3586" width="58.7109375" style="6" bestFit="1" customWidth="1"/>
    <col min="3587" max="3587" width="13.28515625" style="6" bestFit="1" customWidth="1"/>
    <col min="3588" max="3588" width="10" style="6" customWidth="1"/>
    <col min="3589" max="3589" width="20.42578125" style="6" customWidth="1"/>
    <col min="3590" max="3840" width="9.140625" style="6"/>
    <col min="3841" max="3841" width="10.7109375" style="6" customWidth="1"/>
    <col min="3842" max="3842" width="58.7109375" style="6" bestFit="1" customWidth="1"/>
    <col min="3843" max="3843" width="13.28515625" style="6" bestFit="1" customWidth="1"/>
    <col min="3844" max="3844" width="10" style="6" customWidth="1"/>
    <col min="3845" max="3845" width="20.42578125" style="6" customWidth="1"/>
    <col min="3846" max="4096" width="9.140625" style="6"/>
    <col min="4097" max="4097" width="10.7109375" style="6" customWidth="1"/>
    <col min="4098" max="4098" width="58.7109375" style="6" bestFit="1" customWidth="1"/>
    <col min="4099" max="4099" width="13.28515625" style="6" bestFit="1" customWidth="1"/>
    <col min="4100" max="4100" width="10" style="6" customWidth="1"/>
    <col min="4101" max="4101" width="20.42578125" style="6" customWidth="1"/>
    <col min="4102" max="4352" width="9.140625" style="6"/>
    <col min="4353" max="4353" width="10.7109375" style="6" customWidth="1"/>
    <col min="4354" max="4354" width="58.7109375" style="6" bestFit="1" customWidth="1"/>
    <col min="4355" max="4355" width="13.28515625" style="6" bestFit="1" customWidth="1"/>
    <col min="4356" max="4356" width="10" style="6" customWidth="1"/>
    <col min="4357" max="4357" width="20.42578125" style="6" customWidth="1"/>
    <col min="4358" max="4608" width="9.140625" style="6"/>
    <col min="4609" max="4609" width="10.7109375" style="6" customWidth="1"/>
    <col min="4610" max="4610" width="58.7109375" style="6" bestFit="1" customWidth="1"/>
    <col min="4611" max="4611" width="13.28515625" style="6" bestFit="1" customWidth="1"/>
    <col min="4612" max="4612" width="10" style="6" customWidth="1"/>
    <col min="4613" max="4613" width="20.42578125" style="6" customWidth="1"/>
    <col min="4614" max="4864" width="9.140625" style="6"/>
    <col min="4865" max="4865" width="10.7109375" style="6" customWidth="1"/>
    <col min="4866" max="4866" width="58.7109375" style="6" bestFit="1" customWidth="1"/>
    <col min="4867" max="4867" width="13.28515625" style="6" bestFit="1" customWidth="1"/>
    <col min="4868" max="4868" width="10" style="6" customWidth="1"/>
    <col min="4869" max="4869" width="20.42578125" style="6" customWidth="1"/>
    <col min="4870" max="5120" width="9.140625" style="6"/>
    <col min="5121" max="5121" width="10.7109375" style="6" customWidth="1"/>
    <col min="5122" max="5122" width="58.7109375" style="6" bestFit="1" customWidth="1"/>
    <col min="5123" max="5123" width="13.28515625" style="6" bestFit="1" customWidth="1"/>
    <col min="5124" max="5124" width="10" style="6" customWidth="1"/>
    <col min="5125" max="5125" width="20.42578125" style="6" customWidth="1"/>
    <col min="5126" max="5376" width="9.140625" style="6"/>
    <col min="5377" max="5377" width="10.7109375" style="6" customWidth="1"/>
    <col min="5378" max="5378" width="58.7109375" style="6" bestFit="1" customWidth="1"/>
    <col min="5379" max="5379" width="13.28515625" style="6" bestFit="1" customWidth="1"/>
    <col min="5380" max="5380" width="10" style="6" customWidth="1"/>
    <col min="5381" max="5381" width="20.42578125" style="6" customWidth="1"/>
    <col min="5382" max="5632" width="9.140625" style="6"/>
    <col min="5633" max="5633" width="10.7109375" style="6" customWidth="1"/>
    <col min="5634" max="5634" width="58.7109375" style="6" bestFit="1" customWidth="1"/>
    <col min="5635" max="5635" width="13.28515625" style="6" bestFit="1" customWidth="1"/>
    <col min="5636" max="5636" width="10" style="6" customWidth="1"/>
    <col min="5637" max="5637" width="20.42578125" style="6" customWidth="1"/>
    <col min="5638" max="5888" width="9.140625" style="6"/>
    <col min="5889" max="5889" width="10.7109375" style="6" customWidth="1"/>
    <col min="5890" max="5890" width="58.7109375" style="6" bestFit="1" customWidth="1"/>
    <col min="5891" max="5891" width="13.28515625" style="6" bestFit="1" customWidth="1"/>
    <col min="5892" max="5892" width="10" style="6" customWidth="1"/>
    <col min="5893" max="5893" width="20.42578125" style="6" customWidth="1"/>
    <col min="5894" max="6144" width="9.140625" style="6"/>
    <col min="6145" max="6145" width="10.7109375" style="6" customWidth="1"/>
    <col min="6146" max="6146" width="58.7109375" style="6" bestFit="1" customWidth="1"/>
    <col min="6147" max="6147" width="13.28515625" style="6" bestFit="1" customWidth="1"/>
    <col min="6148" max="6148" width="10" style="6" customWidth="1"/>
    <col min="6149" max="6149" width="20.42578125" style="6" customWidth="1"/>
    <col min="6150" max="6400" width="9.140625" style="6"/>
    <col min="6401" max="6401" width="10.7109375" style="6" customWidth="1"/>
    <col min="6402" max="6402" width="58.7109375" style="6" bestFit="1" customWidth="1"/>
    <col min="6403" max="6403" width="13.28515625" style="6" bestFit="1" customWidth="1"/>
    <col min="6404" max="6404" width="10" style="6" customWidth="1"/>
    <col min="6405" max="6405" width="20.42578125" style="6" customWidth="1"/>
    <col min="6406" max="6656" width="9.140625" style="6"/>
    <col min="6657" max="6657" width="10.7109375" style="6" customWidth="1"/>
    <col min="6658" max="6658" width="58.7109375" style="6" bestFit="1" customWidth="1"/>
    <col min="6659" max="6659" width="13.28515625" style="6" bestFit="1" customWidth="1"/>
    <col min="6660" max="6660" width="10" style="6" customWidth="1"/>
    <col min="6661" max="6661" width="20.42578125" style="6" customWidth="1"/>
    <col min="6662" max="6912" width="9.140625" style="6"/>
    <col min="6913" max="6913" width="10.7109375" style="6" customWidth="1"/>
    <col min="6914" max="6914" width="58.7109375" style="6" bestFit="1" customWidth="1"/>
    <col min="6915" max="6915" width="13.28515625" style="6" bestFit="1" customWidth="1"/>
    <col min="6916" max="6916" width="10" style="6" customWidth="1"/>
    <col min="6917" max="6917" width="20.42578125" style="6" customWidth="1"/>
    <col min="6918" max="7168" width="9.140625" style="6"/>
    <col min="7169" max="7169" width="10.7109375" style="6" customWidth="1"/>
    <col min="7170" max="7170" width="58.7109375" style="6" bestFit="1" customWidth="1"/>
    <col min="7171" max="7171" width="13.28515625" style="6" bestFit="1" customWidth="1"/>
    <col min="7172" max="7172" width="10" style="6" customWidth="1"/>
    <col min="7173" max="7173" width="20.42578125" style="6" customWidth="1"/>
    <col min="7174" max="7424" width="9.140625" style="6"/>
    <col min="7425" max="7425" width="10.7109375" style="6" customWidth="1"/>
    <col min="7426" max="7426" width="58.7109375" style="6" bestFit="1" customWidth="1"/>
    <col min="7427" max="7427" width="13.28515625" style="6" bestFit="1" customWidth="1"/>
    <col min="7428" max="7428" width="10" style="6" customWidth="1"/>
    <col min="7429" max="7429" width="20.42578125" style="6" customWidth="1"/>
    <col min="7430" max="7680" width="9.140625" style="6"/>
    <col min="7681" max="7681" width="10.7109375" style="6" customWidth="1"/>
    <col min="7682" max="7682" width="58.7109375" style="6" bestFit="1" customWidth="1"/>
    <col min="7683" max="7683" width="13.28515625" style="6" bestFit="1" customWidth="1"/>
    <col min="7684" max="7684" width="10" style="6" customWidth="1"/>
    <col min="7685" max="7685" width="20.42578125" style="6" customWidth="1"/>
    <col min="7686" max="7936" width="9.140625" style="6"/>
    <col min="7937" max="7937" width="10.7109375" style="6" customWidth="1"/>
    <col min="7938" max="7938" width="58.7109375" style="6" bestFit="1" customWidth="1"/>
    <col min="7939" max="7939" width="13.28515625" style="6" bestFit="1" customWidth="1"/>
    <col min="7940" max="7940" width="10" style="6" customWidth="1"/>
    <col min="7941" max="7941" width="20.42578125" style="6" customWidth="1"/>
    <col min="7942" max="8192" width="9.140625" style="6"/>
    <col min="8193" max="8193" width="10.7109375" style="6" customWidth="1"/>
    <col min="8194" max="8194" width="58.7109375" style="6" bestFit="1" customWidth="1"/>
    <col min="8195" max="8195" width="13.28515625" style="6" bestFit="1" customWidth="1"/>
    <col min="8196" max="8196" width="10" style="6" customWidth="1"/>
    <col min="8197" max="8197" width="20.42578125" style="6" customWidth="1"/>
    <col min="8198" max="8448" width="9.140625" style="6"/>
    <col min="8449" max="8449" width="10.7109375" style="6" customWidth="1"/>
    <col min="8450" max="8450" width="58.7109375" style="6" bestFit="1" customWidth="1"/>
    <col min="8451" max="8451" width="13.28515625" style="6" bestFit="1" customWidth="1"/>
    <col min="8452" max="8452" width="10" style="6" customWidth="1"/>
    <col min="8453" max="8453" width="20.42578125" style="6" customWidth="1"/>
    <col min="8454" max="8704" width="9.140625" style="6"/>
    <col min="8705" max="8705" width="10.7109375" style="6" customWidth="1"/>
    <col min="8706" max="8706" width="58.7109375" style="6" bestFit="1" customWidth="1"/>
    <col min="8707" max="8707" width="13.28515625" style="6" bestFit="1" customWidth="1"/>
    <col min="8708" max="8708" width="10" style="6" customWidth="1"/>
    <col min="8709" max="8709" width="20.42578125" style="6" customWidth="1"/>
    <col min="8710" max="8960" width="9.140625" style="6"/>
    <col min="8961" max="8961" width="10.7109375" style="6" customWidth="1"/>
    <col min="8962" max="8962" width="58.7109375" style="6" bestFit="1" customWidth="1"/>
    <col min="8963" max="8963" width="13.28515625" style="6" bestFit="1" customWidth="1"/>
    <col min="8964" max="8964" width="10" style="6" customWidth="1"/>
    <col min="8965" max="8965" width="20.42578125" style="6" customWidth="1"/>
    <col min="8966" max="9216" width="9.140625" style="6"/>
    <col min="9217" max="9217" width="10.7109375" style="6" customWidth="1"/>
    <col min="9218" max="9218" width="58.7109375" style="6" bestFit="1" customWidth="1"/>
    <col min="9219" max="9219" width="13.28515625" style="6" bestFit="1" customWidth="1"/>
    <col min="9220" max="9220" width="10" style="6" customWidth="1"/>
    <col min="9221" max="9221" width="20.42578125" style="6" customWidth="1"/>
    <col min="9222" max="9472" width="9.140625" style="6"/>
    <col min="9473" max="9473" width="10.7109375" style="6" customWidth="1"/>
    <col min="9474" max="9474" width="58.7109375" style="6" bestFit="1" customWidth="1"/>
    <col min="9475" max="9475" width="13.28515625" style="6" bestFit="1" customWidth="1"/>
    <col min="9476" max="9476" width="10" style="6" customWidth="1"/>
    <col min="9477" max="9477" width="20.42578125" style="6" customWidth="1"/>
    <col min="9478" max="9728" width="9.140625" style="6"/>
    <col min="9729" max="9729" width="10.7109375" style="6" customWidth="1"/>
    <col min="9730" max="9730" width="58.7109375" style="6" bestFit="1" customWidth="1"/>
    <col min="9731" max="9731" width="13.28515625" style="6" bestFit="1" customWidth="1"/>
    <col min="9732" max="9732" width="10" style="6" customWidth="1"/>
    <col min="9733" max="9733" width="20.42578125" style="6" customWidth="1"/>
    <col min="9734" max="9984" width="9.140625" style="6"/>
    <col min="9985" max="9985" width="10.7109375" style="6" customWidth="1"/>
    <col min="9986" max="9986" width="58.7109375" style="6" bestFit="1" customWidth="1"/>
    <col min="9987" max="9987" width="13.28515625" style="6" bestFit="1" customWidth="1"/>
    <col min="9988" max="9988" width="10" style="6" customWidth="1"/>
    <col min="9989" max="9989" width="20.42578125" style="6" customWidth="1"/>
    <col min="9990" max="10240" width="9.140625" style="6"/>
    <col min="10241" max="10241" width="10.7109375" style="6" customWidth="1"/>
    <col min="10242" max="10242" width="58.7109375" style="6" bestFit="1" customWidth="1"/>
    <col min="10243" max="10243" width="13.28515625" style="6" bestFit="1" customWidth="1"/>
    <col min="10244" max="10244" width="10" style="6" customWidth="1"/>
    <col min="10245" max="10245" width="20.42578125" style="6" customWidth="1"/>
    <col min="10246" max="10496" width="9.140625" style="6"/>
    <col min="10497" max="10497" width="10.7109375" style="6" customWidth="1"/>
    <col min="10498" max="10498" width="58.7109375" style="6" bestFit="1" customWidth="1"/>
    <col min="10499" max="10499" width="13.28515625" style="6" bestFit="1" customWidth="1"/>
    <col min="10500" max="10500" width="10" style="6" customWidth="1"/>
    <col min="10501" max="10501" width="20.42578125" style="6" customWidth="1"/>
    <col min="10502" max="10752" width="9.140625" style="6"/>
    <col min="10753" max="10753" width="10.7109375" style="6" customWidth="1"/>
    <col min="10754" max="10754" width="58.7109375" style="6" bestFit="1" customWidth="1"/>
    <col min="10755" max="10755" width="13.28515625" style="6" bestFit="1" customWidth="1"/>
    <col min="10756" max="10756" width="10" style="6" customWidth="1"/>
    <col min="10757" max="10757" width="20.42578125" style="6" customWidth="1"/>
    <col min="10758" max="11008" width="9.140625" style="6"/>
    <col min="11009" max="11009" width="10.7109375" style="6" customWidth="1"/>
    <col min="11010" max="11010" width="58.7109375" style="6" bestFit="1" customWidth="1"/>
    <col min="11011" max="11011" width="13.28515625" style="6" bestFit="1" customWidth="1"/>
    <col min="11012" max="11012" width="10" style="6" customWidth="1"/>
    <col min="11013" max="11013" width="20.42578125" style="6" customWidth="1"/>
    <col min="11014" max="11264" width="9.140625" style="6"/>
    <col min="11265" max="11265" width="10.7109375" style="6" customWidth="1"/>
    <col min="11266" max="11266" width="58.7109375" style="6" bestFit="1" customWidth="1"/>
    <col min="11267" max="11267" width="13.28515625" style="6" bestFit="1" customWidth="1"/>
    <col min="11268" max="11268" width="10" style="6" customWidth="1"/>
    <col min="11269" max="11269" width="20.42578125" style="6" customWidth="1"/>
    <col min="11270" max="11520" width="9.140625" style="6"/>
    <col min="11521" max="11521" width="10.7109375" style="6" customWidth="1"/>
    <col min="11522" max="11522" width="58.7109375" style="6" bestFit="1" customWidth="1"/>
    <col min="11523" max="11523" width="13.28515625" style="6" bestFit="1" customWidth="1"/>
    <col min="11524" max="11524" width="10" style="6" customWidth="1"/>
    <col min="11525" max="11525" width="20.42578125" style="6" customWidth="1"/>
    <col min="11526" max="11776" width="9.140625" style="6"/>
    <col min="11777" max="11777" width="10.7109375" style="6" customWidth="1"/>
    <col min="11778" max="11778" width="58.7109375" style="6" bestFit="1" customWidth="1"/>
    <col min="11779" max="11779" width="13.28515625" style="6" bestFit="1" customWidth="1"/>
    <col min="11780" max="11780" width="10" style="6" customWidth="1"/>
    <col min="11781" max="11781" width="20.42578125" style="6" customWidth="1"/>
    <col min="11782" max="12032" width="9.140625" style="6"/>
    <col min="12033" max="12033" width="10.7109375" style="6" customWidth="1"/>
    <col min="12034" max="12034" width="58.7109375" style="6" bestFit="1" customWidth="1"/>
    <col min="12035" max="12035" width="13.28515625" style="6" bestFit="1" customWidth="1"/>
    <col min="12036" max="12036" width="10" style="6" customWidth="1"/>
    <col min="12037" max="12037" width="20.42578125" style="6" customWidth="1"/>
    <col min="12038" max="12288" width="9.140625" style="6"/>
    <col min="12289" max="12289" width="10.7109375" style="6" customWidth="1"/>
    <col min="12290" max="12290" width="58.7109375" style="6" bestFit="1" customWidth="1"/>
    <col min="12291" max="12291" width="13.28515625" style="6" bestFit="1" customWidth="1"/>
    <col min="12292" max="12292" width="10" style="6" customWidth="1"/>
    <col min="12293" max="12293" width="20.42578125" style="6" customWidth="1"/>
    <col min="12294" max="12544" width="9.140625" style="6"/>
    <col min="12545" max="12545" width="10.7109375" style="6" customWidth="1"/>
    <col min="12546" max="12546" width="58.7109375" style="6" bestFit="1" customWidth="1"/>
    <col min="12547" max="12547" width="13.28515625" style="6" bestFit="1" customWidth="1"/>
    <col min="12548" max="12548" width="10" style="6" customWidth="1"/>
    <col min="12549" max="12549" width="20.42578125" style="6" customWidth="1"/>
    <col min="12550" max="12800" width="9.140625" style="6"/>
    <col min="12801" max="12801" width="10.7109375" style="6" customWidth="1"/>
    <col min="12802" max="12802" width="58.7109375" style="6" bestFit="1" customWidth="1"/>
    <col min="12803" max="12803" width="13.28515625" style="6" bestFit="1" customWidth="1"/>
    <col min="12804" max="12804" width="10" style="6" customWidth="1"/>
    <col min="12805" max="12805" width="20.42578125" style="6" customWidth="1"/>
    <col min="12806" max="13056" width="9.140625" style="6"/>
    <col min="13057" max="13057" width="10.7109375" style="6" customWidth="1"/>
    <col min="13058" max="13058" width="58.7109375" style="6" bestFit="1" customWidth="1"/>
    <col min="13059" max="13059" width="13.28515625" style="6" bestFit="1" customWidth="1"/>
    <col min="13060" max="13060" width="10" style="6" customWidth="1"/>
    <col min="13061" max="13061" width="20.42578125" style="6" customWidth="1"/>
    <col min="13062" max="13312" width="9.140625" style="6"/>
    <col min="13313" max="13313" width="10.7109375" style="6" customWidth="1"/>
    <col min="13314" max="13314" width="58.7109375" style="6" bestFit="1" customWidth="1"/>
    <col min="13315" max="13315" width="13.28515625" style="6" bestFit="1" customWidth="1"/>
    <col min="13316" max="13316" width="10" style="6" customWidth="1"/>
    <col min="13317" max="13317" width="20.42578125" style="6" customWidth="1"/>
    <col min="13318" max="13568" width="9.140625" style="6"/>
    <col min="13569" max="13569" width="10.7109375" style="6" customWidth="1"/>
    <col min="13570" max="13570" width="58.7109375" style="6" bestFit="1" customWidth="1"/>
    <col min="13571" max="13571" width="13.28515625" style="6" bestFit="1" customWidth="1"/>
    <col min="13572" max="13572" width="10" style="6" customWidth="1"/>
    <col min="13573" max="13573" width="20.42578125" style="6" customWidth="1"/>
    <col min="13574" max="13824" width="9.140625" style="6"/>
    <col min="13825" max="13825" width="10.7109375" style="6" customWidth="1"/>
    <col min="13826" max="13826" width="58.7109375" style="6" bestFit="1" customWidth="1"/>
    <col min="13827" max="13827" width="13.28515625" style="6" bestFit="1" customWidth="1"/>
    <col min="13828" max="13828" width="10" style="6" customWidth="1"/>
    <col min="13829" max="13829" width="20.42578125" style="6" customWidth="1"/>
    <col min="13830" max="14080" width="9.140625" style="6"/>
    <col min="14081" max="14081" width="10.7109375" style="6" customWidth="1"/>
    <col min="14082" max="14082" width="58.7109375" style="6" bestFit="1" customWidth="1"/>
    <col min="14083" max="14083" width="13.28515625" style="6" bestFit="1" customWidth="1"/>
    <col min="14084" max="14084" width="10" style="6" customWidth="1"/>
    <col min="14085" max="14085" width="20.42578125" style="6" customWidth="1"/>
    <col min="14086" max="14336" width="9.140625" style="6"/>
    <col min="14337" max="14337" width="10.7109375" style="6" customWidth="1"/>
    <col min="14338" max="14338" width="58.7109375" style="6" bestFit="1" customWidth="1"/>
    <col min="14339" max="14339" width="13.28515625" style="6" bestFit="1" customWidth="1"/>
    <col min="14340" max="14340" width="10" style="6" customWidth="1"/>
    <col min="14341" max="14341" width="20.42578125" style="6" customWidth="1"/>
    <col min="14342" max="14592" width="9.140625" style="6"/>
    <col min="14593" max="14593" width="10.7109375" style="6" customWidth="1"/>
    <col min="14594" max="14594" width="58.7109375" style="6" bestFit="1" customWidth="1"/>
    <col min="14595" max="14595" width="13.28515625" style="6" bestFit="1" customWidth="1"/>
    <col min="14596" max="14596" width="10" style="6" customWidth="1"/>
    <col min="14597" max="14597" width="20.42578125" style="6" customWidth="1"/>
    <col min="14598" max="14848" width="9.140625" style="6"/>
    <col min="14849" max="14849" width="10.7109375" style="6" customWidth="1"/>
    <col min="14850" max="14850" width="58.7109375" style="6" bestFit="1" customWidth="1"/>
    <col min="14851" max="14851" width="13.28515625" style="6" bestFit="1" customWidth="1"/>
    <col min="14852" max="14852" width="10" style="6" customWidth="1"/>
    <col min="14853" max="14853" width="20.42578125" style="6" customWidth="1"/>
    <col min="14854" max="15104" width="9.140625" style="6"/>
    <col min="15105" max="15105" width="10.7109375" style="6" customWidth="1"/>
    <col min="15106" max="15106" width="58.7109375" style="6" bestFit="1" customWidth="1"/>
    <col min="15107" max="15107" width="13.28515625" style="6" bestFit="1" customWidth="1"/>
    <col min="15108" max="15108" width="10" style="6" customWidth="1"/>
    <col min="15109" max="15109" width="20.42578125" style="6" customWidth="1"/>
    <col min="15110" max="15360" width="9.140625" style="6"/>
    <col min="15361" max="15361" width="10.7109375" style="6" customWidth="1"/>
    <col min="15362" max="15362" width="58.7109375" style="6" bestFit="1" customWidth="1"/>
    <col min="15363" max="15363" width="13.28515625" style="6" bestFit="1" customWidth="1"/>
    <col min="15364" max="15364" width="10" style="6" customWidth="1"/>
    <col min="15365" max="15365" width="20.42578125" style="6" customWidth="1"/>
    <col min="15366" max="15616" width="9.140625" style="6"/>
    <col min="15617" max="15617" width="10.7109375" style="6" customWidth="1"/>
    <col min="15618" max="15618" width="58.7109375" style="6" bestFit="1" customWidth="1"/>
    <col min="15619" max="15619" width="13.28515625" style="6" bestFit="1" customWidth="1"/>
    <col min="15620" max="15620" width="10" style="6" customWidth="1"/>
    <col min="15621" max="15621" width="20.42578125" style="6" customWidth="1"/>
    <col min="15622" max="15872" width="9.140625" style="6"/>
    <col min="15873" max="15873" width="10.7109375" style="6" customWidth="1"/>
    <col min="15874" max="15874" width="58.7109375" style="6" bestFit="1" customWidth="1"/>
    <col min="15875" max="15875" width="13.28515625" style="6" bestFit="1" customWidth="1"/>
    <col min="15876" max="15876" width="10" style="6" customWidth="1"/>
    <col min="15877" max="15877" width="20.42578125" style="6" customWidth="1"/>
    <col min="15878" max="16128" width="9.140625" style="6"/>
    <col min="16129" max="16129" width="10.7109375" style="6" customWidth="1"/>
    <col min="16130" max="16130" width="58.7109375" style="6" bestFit="1" customWidth="1"/>
    <col min="16131" max="16131" width="13.28515625" style="6" bestFit="1" customWidth="1"/>
    <col min="16132" max="16132" width="10" style="6" customWidth="1"/>
    <col min="16133" max="16133" width="20.42578125" style="6" customWidth="1"/>
    <col min="16134" max="16384" width="9.140625" style="6"/>
  </cols>
  <sheetData>
    <row r="1" spans="1:5" ht="16.149999999999999" customHeight="1">
      <c r="A1" s="22"/>
      <c r="B1" s="392" t="s">
        <v>49</v>
      </c>
      <c r="C1" s="392"/>
      <c r="D1" s="392"/>
      <c r="E1" s="392"/>
    </row>
    <row r="2" spans="1:5" ht="17.45" customHeight="1">
      <c r="A2" s="22"/>
      <c r="B2" s="396" t="s">
        <v>6</v>
      </c>
      <c r="C2" s="396"/>
      <c r="D2" s="396"/>
      <c r="E2" s="396"/>
    </row>
    <row r="3" spans="1:5" ht="17.45" customHeight="1">
      <c r="A3" s="22"/>
      <c r="B3" s="392" t="s">
        <v>7</v>
      </c>
      <c r="C3" s="392"/>
      <c r="D3" s="392"/>
      <c r="E3" s="392"/>
    </row>
    <row r="4" spans="1:5" s="4" customFormat="1" ht="17.45" customHeight="1">
      <c r="A4" s="20"/>
      <c r="B4" s="393" t="s">
        <v>0</v>
      </c>
      <c r="C4" s="393"/>
      <c r="D4" s="393"/>
      <c r="E4" s="393"/>
    </row>
    <row r="5" spans="1:5" s="4" customFormat="1">
      <c r="A5" s="20"/>
      <c r="B5" s="3"/>
      <c r="C5" s="1"/>
    </row>
    <row r="6" spans="1:5" s="4" customFormat="1" ht="35.450000000000003" customHeight="1">
      <c r="A6" s="21" t="s">
        <v>1</v>
      </c>
      <c r="B6" s="395" t="e">
        <f>#REF!</f>
        <v>#REF!</v>
      </c>
      <c r="C6" s="395"/>
      <c r="D6" s="395"/>
      <c r="E6" s="395"/>
    </row>
    <row r="7" spans="1:5" s="4" customFormat="1" ht="27.6" customHeight="1">
      <c r="A7" s="20" t="s">
        <v>2</v>
      </c>
      <c r="B7" s="395" t="e">
        <f>#REF!</f>
        <v>#REF!</v>
      </c>
      <c r="C7" s="395"/>
      <c r="D7" s="394" t="s">
        <v>48</v>
      </c>
      <c r="E7" s="394"/>
    </row>
    <row r="8" spans="1:5" s="4" customFormat="1">
      <c r="A8" s="20"/>
      <c r="B8" s="3"/>
      <c r="C8" s="1"/>
    </row>
    <row r="9" spans="1:5" s="4" customFormat="1" ht="12.75" customHeight="1">
      <c r="A9" s="401" t="s">
        <v>54</v>
      </c>
      <c r="B9" s="401"/>
      <c r="C9" s="401"/>
      <c r="D9" s="401"/>
      <c r="E9" s="401"/>
    </row>
    <row r="10" spans="1:5" s="4" customFormat="1" ht="13.5" customHeight="1">
      <c r="A10" s="401"/>
      <c r="B10" s="401"/>
      <c r="C10" s="401"/>
      <c r="D10" s="401"/>
      <c r="E10" s="401"/>
    </row>
    <row r="12" spans="1:5">
      <c r="A12" s="15" t="s">
        <v>12</v>
      </c>
      <c r="B12" s="400" t="s">
        <v>13</v>
      </c>
      <c r="C12" s="400"/>
      <c r="D12" s="400"/>
      <c r="E12" s="16">
        <f>SUM(E13:E16)</f>
        <v>3.4000000000000002E-2</v>
      </c>
    </row>
    <row r="13" spans="1:5">
      <c r="A13" s="17" t="s">
        <v>14</v>
      </c>
      <c r="B13" s="399" t="s">
        <v>15</v>
      </c>
      <c r="C13" s="399"/>
      <c r="D13" s="399"/>
      <c r="E13" s="18">
        <v>1.4999999999999999E-2</v>
      </c>
    </row>
    <row r="14" spans="1:5">
      <c r="A14" s="17" t="s">
        <v>16</v>
      </c>
      <c r="B14" s="399" t="s">
        <v>46</v>
      </c>
      <c r="C14" s="399"/>
      <c r="D14" s="399"/>
      <c r="E14" s="18">
        <v>7.0000000000000001E-3</v>
      </c>
    </row>
    <row r="15" spans="1:5">
      <c r="A15" s="17" t="s">
        <v>17</v>
      </c>
      <c r="B15" s="399" t="s">
        <v>18</v>
      </c>
      <c r="C15" s="399"/>
      <c r="D15" s="399"/>
      <c r="E15" s="18">
        <v>8.5000000000000006E-3</v>
      </c>
    </row>
    <row r="16" spans="1:5" ht="16.5" customHeight="1">
      <c r="A16" s="17" t="s">
        <v>19</v>
      </c>
      <c r="B16" s="399" t="s">
        <v>47</v>
      </c>
      <c r="C16" s="399"/>
      <c r="D16" s="399"/>
      <c r="E16" s="18">
        <v>3.5000000000000001E-3</v>
      </c>
    </row>
    <row r="17" spans="1:5">
      <c r="A17" s="17"/>
      <c r="B17" s="399"/>
      <c r="C17" s="399"/>
      <c r="D17" s="399"/>
      <c r="E17" s="14"/>
    </row>
    <row r="18" spans="1:5">
      <c r="A18" s="15" t="s">
        <v>20</v>
      </c>
      <c r="B18" s="400" t="s">
        <v>21</v>
      </c>
      <c r="C18" s="400"/>
      <c r="D18" s="400"/>
      <c r="E18" s="16">
        <f>SUM(E19:E23)</f>
        <v>6.6500000000000004E-2</v>
      </c>
    </row>
    <row r="19" spans="1:5">
      <c r="A19" s="17" t="s">
        <v>22</v>
      </c>
      <c r="B19" s="399" t="s">
        <v>23</v>
      </c>
      <c r="C19" s="399"/>
      <c r="D19" s="399"/>
      <c r="E19" s="18">
        <v>6.4999999999999997E-3</v>
      </c>
    </row>
    <row r="20" spans="1:5">
      <c r="A20" s="17" t="s">
        <v>24</v>
      </c>
      <c r="B20" s="399" t="s">
        <v>25</v>
      </c>
      <c r="C20" s="399"/>
      <c r="D20" s="399"/>
      <c r="E20" s="18">
        <v>0.03</v>
      </c>
    </row>
    <row r="21" spans="1:5">
      <c r="A21" s="17" t="s">
        <v>26</v>
      </c>
      <c r="B21" s="399" t="s">
        <v>27</v>
      </c>
      <c r="C21" s="399"/>
      <c r="D21" s="399"/>
      <c r="E21" s="18">
        <v>0</v>
      </c>
    </row>
    <row r="22" spans="1:5">
      <c r="A22" s="17" t="s">
        <v>28</v>
      </c>
      <c r="B22" s="14" t="s">
        <v>50</v>
      </c>
      <c r="C22" s="14"/>
      <c r="D22" s="14"/>
      <c r="E22" s="18">
        <v>0.03</v>
      </c>
    </row>
    <row r="23" spans="1:5">
      <c r="A23" s="17" t="s">
        <v>28</v>
      </c>
      <c r="B23" s="399" t="s">
        <v>29</v>
      </c>
      <c r="C23" s="399"/>
      <c r="D23" s="399"/>
      <c r="E23" s="18">
        <v>0</v>
      </c>
    </row>
    <row r="24" spans="1:5">
      <c r="A24" s="17"/>
      <c r="B24" s="399"/>
      <c r="C24" s="399"/>
      <c r="D24" s="399"/>
      <c r="E24" s="14"/>
    </row>
    <row r="25" spans="1:5">
      <c r="A25" s="15" t="s">
        <v>30</v>
      </c>
      <c r="B25" s="400" t="s">
        <v>31</v>
      </c>
      <c r="C25" s="400"/>
      <c r="D25" s="400"/>
      <c r="E25" s="16">
        <f>SUM(E26:E26)</f>
        <v>3.5000000000000003E-2</v>
      </c>
    </row>
    <row r="26" spans="1:5">
      <c r="A26" s="17" t="s">
        <v>32</v>
      </c>
      <c r="B26" s="399" t="s">
        <v>33</v>
      </c>
      <c r="C26" s="399"/>
      <c r="D26" s="399"/>
      <c r="E26" s="18">
        <v>3.5000000000000003E-2</v>
      </c>
    </row>
    <row r="27" spans="1:5">
      <c r="A27" s="17"/>
      <c r="B27" s="399"/>
      <c r="C27" s="399"/>
      <c r="D27" s="399"/>
      <c r="E27" s="17"/>
    </row>
    <row r="28" spans="1:5">
      <c r="A28" s="15" t="s">
        <v>34</v>
      </c>
      <c r="B28" s="400" t="s">
        <v>35</v>
      </c>
      <c r="C28" s="400"/>
      <c r="D28" s="400"/>
      <c r="E28" s="16">
        <f>(((1+E13+E14+E16)*(1+E15)*(1+E26))/(1-E18))-1</f>
        <v>0.14666774102838764</v>
      </c>
    </row>
    <row r="29" spans="1:5">
      <c r="A29" s="7"/>
      <c r="B29" s="5"/>
      <c r="C29" s="7"/>
      <c r="D29" s="5"/>
      <c r="E29" s="5"/>
    </row>
    <row r="30" spans="1:5" ht="38.25" customHeight="1">
      <c r="A30" s="402" t="s">
        <v>36</v>
      </c>
      <c r="B30" s="402"/>
      <c r="C30" s="402"/>
      <c r="D30" s="402"/>
      <c r="E30" s="5"/>
    </row>
    <row r="31" spans="1:5">
      <c r="A31" s="9"/>
      <c r="B31" s="8"/>
      <c r="C31" s="9"/>
      <c r="D31" s="8"/>
      <c r="E31" s="5"/>
    </row>
    <row r="32" spans="1:5">
      <c r="A32" s="9"/>
      <c r="B32" s="5"/>
      <c r="C32" s="9"/>
      <c r="D32" s="8"/>
      <c r="E32" s="5"/>
    </row>
    <row r="33" spans="1:5">
      <c r="A33" s="9"/>
      <c r="B33" s="8"/>
      <c r="C33" s="9"/>
      <c r="D33" s="8"/>
      <c r="E33" s="5"/>
    </row>
    <row r="34" spans="1:5">
      <c r="A34" s="9" t="s">
        <v>37</v>
      </c>
      <c r="B34" s="8"/>
      <c r="C34" s="9"/>
      <c r="D34" s="8"/>
      <c r="E34" s="5"/>
    </row>
    <row r="35" spans="1:5">
      <c r="A35" s="9" t="s">
        <v>38</v>
      </c>
      <c r="B35" s="8"/>
      <c r="C35" s="9"/>
      <c r="D35" s="8"/>
      <c r="E35" s="5"/>
    </row>
    <row r="36" spans="1:5">
      <c r="A36" s="9" t="s">
        <v>39</v>
      </c>
      <c r="B36" s="8"/>
      <c r="C36" s="9"/>
      <c r="D36" s="8"/>
      <c r="E36" s="5"/>
    </row>
    <row r="37" spans="1:5">
      <c r="A37" s="9" t="s">
        <v>40</v>
      </c>
      <c r="B37" s="8"/>
      <c r="C37" s="9"/>
      <c r="D37" s="8"/>
      <c r="E37" s="5"/>
    </row>
    <row r="38" spans="1:5">
      <c r="A38" s="9" t="s">
        <v>41</v>
      </c>
      <c r="B38" s="8"/>
      <c r="C38" s="9"/>
      <c r="D38" s="8"/>
      <c r="E38" s="5"/>
    </row>
    <row r="39" spans="1:5">
      <c r="A39" s="9" t="s">
        <v>42</v>
      </c>
      <c r="B39" s="8"/>
      <c r="C39" s="9"/>
      <c r="D39" s="8"/>
      <c r="E39" s="5"/>
    </row>
    <row r="40" spans="1:5">
      <c r="A40" s="9" t="s">
        <v>43</v>
      </c>
      <c r="B40" s="5"/>
      <c r="C40" s="7"/>
      <c r="D40" s="5"/>
      <c r="E40" s="5"/>
    </row>
    <row r="44" spans="1:5">
      <c r="A44" s="397"/>
      <c r="B44" s="397"/>
      <c r="C44" s="397"/>
      <c r="D44" s="397"/>
      <c r="E44" s="397"/>
    </row>
    <row r="45" spans="1:5">
      <c r="A45" s="23"/>
      <c r="B45" s="19"/>
      <c r="C45" s="19"/>
      <c r="D45" s="19"/>
      <c r="E45" s="19"/>
    </row>
    <row r="46" spans="1:5">
      <c r="A46" s="398" t="s">
        <v>51</v>
      </c>
      <c r="B46" s="398"/>
      <c r="C46" s="398"/>
      <c r="D46" s="398"/>
      <c r="E46" s="398"/>
    </row>
    <row r="47" spans="1:5">
      <c r="A47" s="398" t="s">
        <v>52</v>
      </c>
      <c r="B47" s="398"/>
      <c r="C47" s="398"/>
      <c r="D47" s="398"/>
      <c r="E47" s="398"/>
    </row>
    <row r="48" spans="1:5">
      <c r="A48" s="398" t="s">
        <v>53</v>
      </c>
      <c r="B48" s="398"/>
      <c r="C48" s="398"/>
      <c r="D48" s="398"/>
      <c r="E48" s="398"/>
    </row>
  </sheetData>
  <mergeCells count="29">
    <mergeCell ref="A9:E10"/>
    <mergeCell ref="A30:D30"/>
    <mergeCell ref="B12:D12"/>
    <mergeCell ref="B13:D13"/>
    <mergeCell ref="B14:D14"/>
    <mergeCell ref="B15:D15"/>
    <mergeCell ref="B16:D16"/>
    <mergeCell ref="B17:D17"/>
    <mergeCell ref="B18:D18"/>
    <mergeCell ref="B19:D19"/>
    <mergeCell ref="B20:D20"/>
    <mergeCell ref="B21:D21"/>
    <mergeCell ref="B23:D23"/>
    <mergeCell ref="A44:E44"/>
    <mergeCell ref="A46:E46"/>
    <mergeCell ref="A47:E47"/>
    <mergeCell ref="A48:E48"/>
    <mergeCell ref="B24:D24"/>
    <mergeCell ref="B25:D25"/>
    <mergeCell ref="B26:D26"/>
    <mergeCell ref="B27:D27"/>
    <mergeCell ref="B28:D28"/>
    <mergeCell ref="B1:E1"/>
    <mergeCell ref="B3:E3"/>
    <mergeCell ref="B4:E4"/>
    <mergeCell ref="D7:E7"/>
    <mergeCell ref="B7:C7"/>
    <mergeCell ref="B2:E2"/>
    <mergeCell ref="B6:E6"/>
  </mergeCells>
  <pageMargins left="0.25" right="0.25" top="0.75" bottom="0.75" header="0.3" footer="0.3"/>
  <pageSetup paperSize="9" scale="87" fitToHeight="0"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J52"/>
  <sheetViews>
    <sheetView view="pageBreakPreview" topLeftCell="A4" zoomScaleSheetLayoutView="100" workbookViewId="0">
      <selection activeCell="A22" sqref="A22:C22"/>
    </sheetView>
  </sheetViews>
  <sheetFormatPr defaultRowHeight="15"/>
  <cols>
    <col min="1" max="1" width="12.57031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7.5" customHeight="1">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ht="6.75" customHeight="1">
      <c r="A5" s="34"/>
      <c r="B5" s="35"/>
      <c r="C5" s="36"/>
      <c r="D5" s="36"/>
      <c r="E5" s="26"/>
      <c r="F5" s="36"/>
      <c r="G5" s="36"/>
      <c r="H5" s="37"/>
    </row>
    <row r="6" spans="1:8">
      <c r="A6" s="59">
        <v>1</v>
      </c>
      <c r="B6" s="326" t="s">
        <v>123</v>
      </c>
      <c r="C6" s="326"/>
      <c r="D6" s="326"/>
      <c r="E6" s="326"/>
      <c r="F6" s="326"/>
      <c r="G6" s="326"/>
      <c r="H6" s="327"/>
    </row>
    <row r="7" spans="1:8" ht="32.25" customHeight="1">
      <c r="A7" s="60">
        <v>104</v>
      </c>
      <c r="B7" s="328" t="str">
        <f>'BM17'!B15</f>
        <v>DEMOLIÇÃO DE ALVENARIA DE BLOCO
FURADO, DE FORMA MANUAL, SEM REAPROVEITAMENTO</v>
      </c>
      <c r="C7" s="328"/>
      <c r="D7" s="328"/>
      <c r="E7" s="328"/>
      <c r="F7" s="328"/>
      <c r="G7" s="328"/>
      <c r="H7" s="329"/>
    </row>
    <row r="8" spans="1:8" ht="15.75" customHeight="1">
      <c r="A8" s="61"/>
      <c r="B8" s="330"/>
      <c r="C8" s="331"/>
      <c r="D8" s="331"/>
      <c r="E8" s="331"/>
      <c r="F8" s="331"/>
      <c r="G8" s="62" t="s">
        <v>124</v>
      </c>
      <c r="H8" s="63" t="s">
        <v>125</v>
      </c>
    </row>
    <row r="9" spans="1:8" ht="5.25" customHeight="1">
      <c r="A9" s="38"/>
      <c r="B9" s="27"/>
      <c r="C9" s="316"/>
      <c r="D9" s="316"/>
      <c r="E9" s="316"/>
      <c r="F9" s="39"/>
      <c r="G9" s="53"/>
      <c r="H9" s="40"/>
    </row>
    <row r="10" spans="1:8" ht="15.75">
      <c r="A10" s="41" t="s">
        <v>113</v>
      </c>
      <c r="B10" s="27"/>
      <c r="C10" s="53" t="s">
        <v>126</v>
      </c>
      <c r="D10" s="53"/>
      <c r="E10" s="53"/>
      <c r="F10" s="39"/>
      <c r="G10" s="53"/>
      <c r="H10" s="40"/>
    </row>
    <row r="11" spans="1:8" ht="15.75">
      <c r="A11" s="38"/>
      <c r="B11" s="65" t="s">
        <v>114</v>
      </c>
      <c r="C11" s="65"/>
      <c r="D11" s="65"/>
      <c r="E11" s="66" t="s">
        <v>115</v>
      </c>
      <c r="F11" s="66" t="s">
        <v>116</v>
      </c>
      <c r="G11" s="66" t="s">
        <v>9</v>
      </c>
      <c r="H11" s="40"/>
    </row>
    <row r="12" spans="1:8">
      <c r="A12" s="64"/>
      <c r="B12" s="67" t="s">
        <v>310</v>
      </c>
      <c r="C12" s="68"/>
      <c r="D12" s="69"/>
      <c r="E12" s="69"/>
      <c r="F12" s="70"/>
      <c r="G12" s="70"/>
      <c r="H12" s="40"/>
    </row>
    <row r="13" spans="1:8" ht="15.75">
      <c r="A13" s="38"/>
      <c r="B13" s="79" t="s">
        <v>9</v>
      </c>
      <c r="C13" s="80"/>
      <c r="D13" s="80"/>
      <c r="E13" s="80"/>
      <c r="F13" s="80"/>
      <c r="G13" s="81">
        <f>SUM(G12:G12)</f>
        <v>0</v>
      </c>
      <c r="H13" s="40"/>
    </row>
    <row r="14" spans="1:8" ht="3" customHeight="1">
      <c r="A14" s="38"/>
      <c r="B14" s="35"/>
      <c r="C14" s="35"/>
      <c r="D14" s="35"/>
      <c r="E14" s="35"/>
      <c r="F14" s="35"/>
      <c r="G14" s="35"/>
      <c r="H14" s="40"/>
    </row>
    <row r="15" spans="1:8" ht="15.75">
      <c r="A15" s="42"/>
      <c r="B15" s="71" t="s">
        <v>117</v>
      </c>
      <c r="C15" s="72">
        <f>'BM17'!D15</f>
        <v>1.32</v>
      </c>
      <c r="D15" s="36"/>
      <c r="E15" s="36"/>
      <c r="F15" s="35"/>
      <c r="G15" s="177"/>
      <c r="H15" s="43"/>
    </row>
    <row r="16" spans="1:8" ht="15.75">
      <c r="A16" s="44"/>
      <c r="B16" s="71" t="s">
        <v>118</v>
      </c>
      <c r="C16" s="72">
        <v>1.324875</v>
      </c>
      <c r="D16" s="35"/>
      <c r="E16" s="35"/>
      <c r="F16" s="35"/>
      <c r="G16" s="35"/>
      <c r="H16" s="43"/>
    </row>
    <row r="17" spans="1:10" ht="15.75">
      <c r="A17" s="44"/>
      <c r="B17" s="71" t="s">
        <v>119</v>
      </c>
      <c r="C17" s="72">
        <f>C15-C16</f>
        <v>-4.8749999999999627E-3</v>
      </c>
      <c r="D17" s="35"/>
      <c r="E17" s="35"/>
      <c r="F17" s="35"/>
      <c r="G17" s="35"/>
      <c r="H17" s="43"/>
    </row>
    <row r="18" spans="1:10" ht="15.75">
      <c r="A18" s="55"/>
      <c r="B18" s="71" t="s">
        <v>120</v>
      </c>
      <c r="C18" s="72"/>
      <c r="D18" s="35"/>
      <c r="E18" s="35"/>
      <c r="F18" s="35"/>
      <c r="G18" s="35"/>
      <c r="H18" s="43"/>
    </row>
    <row r="19" spans="1:10" ht="15.75">
      <c r="A19" s="55"/>
      <c r="B19" s="71" t="s">
        <v>121</v>
      </c>
      <c r="C19" s="72">
        <f>G13</f>
        <v>0</v>
      </c>
      <c r="D19" s="35"/>
      <c r="E19" s="35"/>
      <c r="F19" s="35"/>
      <c r="G19" s="35"/>
      <c r="H19" s="43"/>
    </row>
    <row r="20" spans="1:10" ht="6" customHeight="1">
      <c r="A20" s="55"/>
      <c r="H20" s="43"/>
    </row>
    <row r="21" spans="1:10">
      <c r="A21" s="336" t="s">
        <v>344</v>
      </c>
      <c r="B21" s="337"/>
      <c r="C21" s="338"/>
      <c r="H21" s="43"/>
    </row>
    <row r="22" spans="1:10">
      <c r="A22" s="336" t="s">
        <v>315</v>
      </c>
      <c r="B22" s="337"/>
      <c r="C22" s="338"/>
      <c r="H22" s="43"/>
    </row>
    <row r="23" spans="1:10">
      <c r="A23" s="138" t="s">
        <v>200</v>
      </c>
      <c r="B23" s="139" t="s">
        <v>175</v>
      </c>
      <c r="C23" s="139"/>
      <c r="D23" s="138" t="s">
        <v>201</v>
      </c>
      <c r="E23" s="174" t="s">
        <v>102</v>
      </c>
      <c r="F23" s="140" t="s">
        <v>211</v>
      </c>
      <c r="G23" s="141" t="s">
        <v>212</v>
      </c>
      <c r="H23" s="43"/>
    </row>
    <row r="24" spans="1:10">
      <c r="A24" s="160" t="s">
        <v>202</v>
      </c>
      <c r="B24" s="156">
        <f>4*0.85*1.05*0.15</f>
        <v>0.53549999999999998</v>
      </c>
      <c r="C24" s="156"/>
      <c r="D24" s="174" t="s">
        <v>198</v>
      </c>
      <c r="E24" s="146"/>
      <c r="F24" s="140"/>
      <c r="G24" s="140"/>
      <c r="H24" s="43"/>
      <c r="J24" t="s">
        <v>299</v>
      </c>
    </row>
    <row r="25" spans="1:10">
      <c r="A25" s="160" t="s">
        <v>204</v>
      </c>
      <c r="B25" s="156">
        <f>5*0.85*1.05*0.15</f>
        <v>0.66937500000000005</v>
      </c>
      <c r="C25" s="156"/>
      <c r="D25" s="174" t="s">
        <v>198</v>
      </c>
      <c r="E25" s="186"/>
      <c r="F25" s="187"/>
      <c r="G25" s="187"/>
      <c r="H25" s="43"/>
    </row>
    <row r="26" spans="1:10">
      <c r="A26" s="160" t="s">
        <v>281</v>
      </c>
      <c r="B26" s="156">
        <v>0.12</v>
      </c>
      <c r="C26" s="156"/>
      <c r="D26" s="174" t="s">
        <v>198</v>
      </c>
      <c r="E26" s="218"/>
      <c r="F26" s="219"/>
      <c r="G26" s="219"/>
      <c r="H26" s="43"/>
    </row>
    <row r="27" spans="1:10" ht="15.75">
      <c r="A27" s="175" t="s">
        <v>9</v>
      </c>
      <c r="B27" s="335">
        <f>B24+B25+B26</f>
        <v>1.324875</v>
      </c>
      <c r="C27" s="335"/>
      <c r="D27" s="176" t="s">
        <v>198</v>
      </c>
      <c r="H27" s="46"/>
    </row>
    <row r="28" spans="1:10" ht="15.75">
      <c r="A28" s="38"/>
      <c r="B28" s="54"/>
      <c r="C28" s="54"/>
      <c r="D28" s="54"/>
      <c r="E28" s="35"/>
      <c r="F28" s="35"/>
      <c r="G28" s="28"/>
      <c r="H28" s="46"/>
    </row>
    <row r="29" spans="1:10" ht="15.75">
      <c r="A29" s="38"/>
      <c r="B29" s="54"/>
      <c r="C29" s="54"/>
      <c r="D29" s="54"/>
      <c r="E29" s="35"/>
      <c r="F29" s="35"/>
      <c r="G29" s="28"/>
      <c r="H29" s="46"/>
    </row>
    <row r="30" spans="1:10" ht="15.75">
      <c r="A30" s="38"/>
      <c r="B30" s="54"/>
      <c r="C30" s="54"/>
      <c r="D30" s="54"/>
      <c r="E30" s="35"/>
      <c r="F30" s="35"/>
      <c r="G30" s="28"/>
      <c r="H30" s="46"/>
    </row>
    <row r="31" spans="1:10" ht="15.75">
      <c r="A31" s="38"/>
      <c r="B31" s="54"/>
      <c r="C31" s="54"/>
      <c r="D31" s="54"/>
      <c r="E31" s="35"/>
      <c r="F31" s="35"/>
      <c r="G31" s="28"/>
      <c r="H31" s="46"/>
    </row>
    <row r="32" spans="1:10" ht="15.75">
      <c r="A32" s="38"/>
      <c r="B32" s="54"/>
      <c r="C32" s="54"/>
      <c r="D32" s="54"/>
      <c r="E32" s="35"/>
      <c r="F32" s="35"/>
      <c r="G32" s="28"/>
      <c r="H32" s="46"/>
    </row>
    <row r="33" spans="1:8" ht="15.75">
      <c r="A33" s="38"/>
      <c r="B33" s="54"/>
      <c r="C33" s="54"/>
      <c r="D33" s="54"/>
      <c r="E33" s="35"/>
      <c r="F33" s="35"/>
      <c r="G33" s="28"/>
      <c r="H33" s="46"/>
    </row>
    <row r="34" spans="1:8" ht="15.75">
      <c r="A34" s="38"/>
      <c r="B34" s="54"/>
      <c r="C34" s="54"/>
      <c r="D34" s="54"/>
      <c r="E34" s="35"/>
      <c r="F34" s="35"/>
      <c r="G34" s="28"/>
      <c r="H34" s="46"/>
    </row>
    <row r="35" spans="1:8" ht="15.75">
      <c r="A35" s="38"/>
      <c r="B35" s="54"/>
      <c r="C35" s="54"/>
      <c r="D35" s="54"/>
      <c r="E35" s="35"/>
      <c r="F35" s="35"/>
      <c r="G35" s="28"/>
      <c r="H35" s="46"/>
    </row>
    <row r="36" spans="1:8" ht="15.75">
      <c r="A36" s="38"/>
      <c r="B36" s="54"/>
      <c r="C36" s="54"/>
      <c r="D36" s="54"/>
      <c r="E36" s="35"/>
      <c r="F36" s="35"/>
      <c r="G36" s="28"/>
      <c r="H36" s="46"/>
    </row>
    <row r="37" spans="1:8" ht="15.75">
      <c r="A37" s="38"/>
      <c r="B37" s="54"/>
      <c r="C37" s="54"/>
      <c r="D37" s="54"/>
      <c r="E37" s="35"/>
      <c r="F37" s="35"/>
      <c r="G37" s="28"/>
      <c r="H37" s="46"/>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D41" s="54"/>
      <c r="E41" s="35"/>
      <c r="F41" s="35"/>
      <c r="G41" s="28"/>
      <c r="H41" s="46"/>
    </row>
    <row r="42" spans="1:8" ht="15.75">
      <c r="A42" s="38"/>
      <c r="B42" s="54"/>
      <c r="C42" s="54"/>
      <c r="D42" s="54"/>
      <c r="E42" s="35"/>
      <c r="F42" s="35"/>
      <c r="G42" s="28"/>
      <c r="H42" s="46"/>
    </row>
    <row r="43" spans="1:8" ht="15.75">
      <c r="A43" s="38"/>
      <c r="B43" s="225"/>
      <c r="C43" s="54"/>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8"/>
      <c r="C48" s="53"/>
      <c r="D48" s="53"/>
      <c r="E48" s="53"/>
      <c r="F48" s="39"/>
      <c r="G48" s="47"/>
      <c r="H48" s="40"/>
    </row>
    <row r="49" spans="1:8" ht="15.75">
      <c r="A49" s="73" t="s">
        <v>122</v>
      </c>
      <c r="B49" s="229"/>
      <c r="C49" s="75"/>
      <c r="D49" s="76"/>
      <c r="E49" s="77"/>
      <c r="F49" s="75"/>
      <c r="G49" s="75"/>
      <c r="H49" s="78"/>
    </row>
    <row r="50" spans="1:8" ht="15" customHeight="1">
      <c r="A50" s="313" t="s">
        <v>146</v>
      </c>
      <c r="B50" s="314"/>
      <c r="C50" s="314"/>
      <c r="D50" s="314"/>
      <c r="E50" s="314"/>
      <c r="F50" s="314"/>
      <c r="G50" s="314"/>
      <c r="H50" s="315"/>
    </row>
    <row r="51" spans="1:8" ht="15.75">
      <c r="A51" s="48"/>
      <c r="B51" s="33"/>
      <c r="C51" s="49"/>
      <c r="D51" s="49"/>
      <c r="E51" s="49"/>
      <c r="F51" s="50"/>
      <c r="G51" s="51"/>
      <c r="H51" s="52"/>
    </row>
    <row r="52" spans="1:8">
      <c r="A52" s="27"/>
      <c r="B52" s="29"/>
      <c r="C52" s="30"/>
      <c r="D52" s="31"/>
      <c r="E52" s="32"/>
      <c r="F52" s="30"/>
      <c r="G52" s="30"/>
      <c r="H52" s="30"/>
    </row>
  </sheetData>
  <mergeCells count="11">
    <mergeCell ref="B8:F8"/>
    <mergeCell ref="A2:H2"/>
    <mergeCell ref="A3:H3"/>
    <mergeCell ref="A4:H4"/>
    <mergeCell ref="B6:H6"/>
    <mergeCell ref="B7:H7"/>
    <mergeCell ref="C9:E9"/>
    <mergeCell ref="A21:C21"/>
    <mergeCell ref="A22:C22"/>
    <mergeCell ref="B27:C27"/>
    <mergeCell ref="A50:H50"/>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1"/>
  <sheetViews>
    <sheetView view="pageBreakPreview" topLeftCell="A18" zoomScaleNormal="79" zoomScaleSheetLayoutView="100" workbookViewId="0">
      <selection activeCell="C16" sqref="C16"/>
    </sheetView>
  </sheetViews>
  <sheetFormatPr defaultRowHeight="15"/>
  <cols>
    <col min="1" max="1" width="12.28515625" customWidth="1"/>
    <col min="2" max="2" width="29.140625" customWidth="1"/>
    <col min="3" max="3" width="14.85546875" bestFit="1"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11.25" customHeight="1">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c r="A5" s="34"/>
      <c r="B5" s="35"/>
      <c r="C5" s="36"/>
      <c r="D5" s="36"/>
      <c r="E5" s="26"/>
      <c r="F5" s="36"/>
      <c r="G5" s="36"/>
      <c r="H5" s="37"/>
    </row>
    <row r="6" spans="1:8">
      <c r="A6" s="59">
        <v>1</v>
      </c>
      <c r="B6" s="342" t="s">
        <v>123</v>
      </c>
      <c r="C6" s="342"/>
      <c r="D6" s="342"/>
      <c r="E6" s="342"/>
      <c r="F6" s="342"/>
      <c r="G6" s="342"/>
      <c r="H6" s="343"/>
    </row>
    <row r="7" spans="1:8" ht="32.25" customHeight="1">
      <c r="A7" s="60">
        <v>105</v>
      </c>
      <c r="B7" s="344" t="s">
        <v>60</v>
      </c>
      <c r="C7" s="344"/>
      <c r="D7" s="344"/>
      <c r="E7" s="344"/>
      <c r="F7" s="344"/>
      <c r="G7" s="344"/>
      <c r="H7" s="345"/>
    </row>
    <row r="8" spans="1:8" ht="15.75" customHeight="1">
      <c r="A8" s="61"/>
      <c r="B8" s="330"/>
      <c r="C8" s="331"/>
      <c r="D8" s="331"/>
      <c r="E8" s="331"/>
      <c r="F8" s="331"/>
      <c r="G8" s="62" t="s">
        <v>124</v>
      </c>
      <c r="H8" s="63" t="s">
        <v>237</v>
      </c>
    </row>
    <row r="9" spans="1:8">
      <c r="A9" s="38"/>
      <c r="B9" s="27"/>
      <c r="C9" s="316"/>
      <c r="D9" s="316"/>
      <c r="E9" s="316"/>
      <c r="F9" s="39"/>
      <c r="G9" s="53"/>
      <c r="H9" s="40"/>
    </row>
    <row r="10" spans="1:8" ht="15.75">
      <c r="A10" s="41" t="s">
        <v>113</v>
      </c>
      <c r="B10" s="27"/>
      <c r="C10" s="340" t="s">
        <v>151</v>
      </c>
      <c r="D10" s="340"/>
      <c r="E10" s="53"/>
      <c r="F10" s="39"/>
      <c r="G10" s="53"/>
      <c r="H10" s="40"/>
    </row>
    <row r="11" spans="1:8" ht="22.5">
      <c r="A11" s="38"/>
      <c r="B11" s="65" t="s">
        <v>114</v>
      </c>
      <c r="C11" s="65"/>
      <c r="D11" s="65" t="s">
        <v>129</v>
      </c>
      <c r="E11" s="132" t="s">
        <v>177</v>
      </c>
      <c r="F11" s="66" t="s">
        <v>175</v>
      </c>
      <c r="G11" s="66" t="s">
        <v>9</v>
      </c>
      <c r="H11" s="40"/>
    </row>
    <row r="12" spans="1:8">
      <c r="A12" s="64"/>
      <c r="B12" s="67" t="s">
        <v>128</v>
      </c>
      <c r="C12" s="68"/>
      <c r="D12" s="67"/>
      <c r="E12" s="69"/>
      <c r="F12" s="70"/>
      <c r="G12" s="70">
        <f>D33</f>
        <v>1.3313249999999999</v>
      </c>
      <c r="H12" s="40"/>
    </row>
    <row r="13" spans="1:8" ht="15.75">
      <c r="A13" s="38"/>
      <c r="B13" s="79" t="s">
        <v>9</v>
      </c>
      <c r="C13" s="80"/>
      <c r="D13" s="80"/>
      <c r="E13" s="80"/>
      <c r="F13" s="80"/>
      <c r="G13" s="81">
        <f>G12</f>
        <v>1.3313249999999999</v>
      </c>
      <c r="H13" s="40"/>
    </row>
    <row r="14" spans="1:8">
      <c r="A14" s="38"/>
      <c r="B14" s="35"/>
      <c r="C14" s="35"/>
      <c r="D14" s="35"/>
      <c r="E14" s="35"/>
      <c r="F14" s="35"/>
      <c r="G14" s="35"/>
      <c r="H14" s="40"/>
    </row>
    <row r="15" spans="1:8" ht="15.75">
      <c r="A15" s="42"/>
      <c r="B15" s="71" t="s">
        <v>117</v>
      </c>
      <c r="C15" s="72">
        <v>220</v>
      </c>
      <c r="D15" s="35"/>
      <c r="E15" s="35" t="s">
        <v>140</v>
      </c>
      <c r="F15" s="35"/>
      <c r="G15" s="35"/>
      <c r="H15" s="43"/>
    </row>
    <row r="16" spans="1:8" ht="15.75">
      <c r="A16" s="44"/>
      <c r="B16" s="71" t="s">
        <v>118</v>
      </c>
      <c r="C16" s="72">
        <v>108.755821</v>
      </c>
      <c r="D16" s="36"/>
      <c r="E16" s="35" t="s">
        <v>249</v>
      </c>
      <c r="F16" s="35"/>
      <c r="G16" s="35"/>
      <c r="H16" s="43"/>
    </row>
    <row r="17" spans="1:8" ht="15.75">
      <c r="A17" s="44"/>
      <c r="B17" s="71" t="s">
        <v>119</v>
      </c>
      <c r="C17" s="72">
        <f>C15-C16</f>
        <v>111.244179</v>
      </c>
      <c r="D17" s="35"/>
      <c r="E17" s="35">
        <v>2.641896</v>
      </c>
      <c r="F17" s="35"/>
      <c r="G17" s="35"/>
      <c r="H17" s="43"/>
    </row>
    <row r="18" spans="1:8" ht="15.75">
      <c r="A18" s="55"/>
      <c r="B18" s="71" t="s">
        <v>120</v>
      </c>
      <c r="C18" s="72"/>
      <c r="D18" s="35"/>
      <c r="E18" s="35"/>
      <c r="F18" s="35"/>
      <c r="G18" s="35"/>
      <c r="H18" s="43"/>
    </row>
    <row r="19" spans="1:8" ht="15.75">
      <c r="A19" s="55"/>
      <c r="B19" s="71" t="s">
        <v>121</v>
      </c>
      <c r="C19" s="72">
        <f>ROUND(G12,2)</f>
        <v>1.33</v>
      </c>
      <c r="D19" s="35">
        <f>C16+G13</f>
        <v>110.087146</v>
      </c>
      <c r="E19" s="35"/>
      <c r="F19" s="35"/>
      <c r="G19" s="35"/>
      <c r="H19" s="43"/>
    </row>
    <row r="20" spans="1:8">
      <c r="A20" s="55"/>
      <c r="H20" s="43"/>
    </row>
    <row r="21" spans="1:8" ht="15.75">
      <c r="A21" s="55"/>
      <c r="B21" s="47"/>
      <c r="C21" s="157"/>
      <c r="D21" s="35"/>
      <c r="E21" s="35"/>
      <c r="F21" s="35"/>
      <c r="H21" s="43"/>
    </row>
    <row r="22" spans="1:8" ht="35.25" customHeight="1">
      <c r="A22" s="55"/>
      <c r="B22" s="346" t="s">
        <v>340</v>
      </c>
      <c r="C22" s="178" t="s">
        <v>250</v>
      </c>
      <c r="D22" s="179" t="s">
        <v>208</v>
      </c>
      <c r="E22" s="158"/>
      <c r="H22" s="43"/>
    </row>
    <row r="23" spans="1:8" ht="30.75" customHeight="1">
      <c r="A23" s="55"/>
      <c r="B23" s="346"/>
      <c r="C23" s="180"/>
      <c r="D23" s="180"/>
      <c r="E23" s="180"/>
      <c r="H23" s="43"/>
    </row>
    <row r="24" spans="1:8">
      <c r="A24" s="55"/>
      <c r="H24" s="43"/>
    </row>
    <row r="25" spans="1:8" ht="15.75">
      <c r="A25" s="38"/>
      <c r="B25" s="45"/>
      <c r="C25" s="35"/>
      <c r="D25" s="35"/>
      <c r="E25" s="36"/>
      <c r="F25" s="35"/>
      <c r="G25" s="35"/>
      <c r="H25" s="43"/>
    </row>
    <row r="26" spans="1:8" ht="15.75">
      <c r="A26" s="38"/>
      <c r="B26" s="45" t="s">
        <v>269</v>
      </c>
      <c r="C26" s="157" t="s">
        <v>270</v>
      </c>
      <c r="D26" s="35"/>
      <c r="E26" s="35">
        <f>4*4*0.06</f>
        <v>0.96</v>
      </c>
      <c r="F26" s="35"/>
      <c r="G26" s="35"/>
      <c r="H26" s="43"/>
    </row>
    <row r="27" spans="1:8" ht="15.75">
      <c r="A27" s="38"/>
      <c r="B27" s="45" t="s">
        <v>271</v>
      </c>
      <c r="C27" s="157" t="s">
        <v>272</v>
      </c>
      <c r="D27" s="35"/>
      <c r="E27" s="35">
        <f>13.7*5.4*0.06</f>
        <v>4.4387999999999996</v>
      </c>
      <c r="G27" s="35"/>
      <c r="H27" s="43"/>
    </row>
    <row r="28" spans="1:8" ht="15.75">
      <c r="A28" s="38"/>
      <c r="B28" s="45"/>
      <c r="C28" s="157"/>
      <c r="D28" s="35"/>
      <c r="E28" s="35"/>
      <c r="F28" s="35"/>
      <c r="G28" s="35"/>
      <c r="H28" s="43"/>
    </row>
    <row r="29" spans="1:8">
      <c r="A29" s="38"/>
      <c r="B29" s="220"/>
      <c r="C29" s="140"/>
      <c r="D29" s="140"/>
      <c r="E29" s="189"/>
      <c r="G29" s="35"/>
      <c r="H29" s="43"/>
    </row>
    <row r="30" spans="1:8">
      <c r="A30" s="38"/>
      <c r="G30" s="35"/>
      <c r="H30" s="43"/>
    </row>
    <row r="31" spans="1:8">
      <c r="A31" s="38"/>
      <c r="G31" s="35"/>
      <c r="H31" s="43"/>
    </row>
    <row r="32" spans="1:8" ht="15.75">
      <c r="A32" s="38"/>
      <c r="B32" s="45" t="s">
        <v>373</v>
      </c>
      <c r="C32" s="35">
        <f>181.63 *0.015*1.5</f>
        <v>4.0866749999999996</v>
      </c>
      <c r="D32" s="35"/>
      <c r="E32" s="35"/>
      <c r="F32" s="35"/>
      <c r="G32" s="35"/>
      <c r="H32" s="43"/>
    </row>
    <row r="33" spans="1:8" ht="15.75">
      <c r="A33" s="38"/>
      <c r="B33" s="45"/>
      <c r="C33" s="35">
        <v>59.17</v>
      </c>
      <c r="D33" s="339">
        <f>C33*0.015*1.5</f>
        <v>1.3313249999999999</v>
      </c>
      <c r="E33" s="339"/>
      <c r="F33" s="339"/>
      <c r="G33" s="54"/>
      <c r="H33" s="43"/>
    </row>
    <row r="34" spans="1:8" ht="15.75">
      <c r="A34" s="38"/>
      <c r="B34" s="45"/>
      <c r="C34" s="35"/>
      <c r="D34" s="35"/>
      <c r="E34" s="35"/>
      <c r="F34" s="35"/>
      <c r="G34" s="35"/>
      <c r="H34" s="43"/>
    </row>
    <row r="35" spans="1:8" ht="15.75">
      <c r="A35" s="38"/>
      <c r="B35" s="54"/>
      <c r="C35" s="54"/>
      <c r="D35" s="54"/>
      <c r="E35" s="35"/>
      <c r="F35" s="35"/>
      <c r="G35" s="28"/>
      <c r="H35" s="46"/>
    </row>
    <row r="36" spans="1:8" ht="15.75">
      <c r="A36" s="38"/>
      <c r="B36" s="54"/>
      <c r="C36" s="54"/>
      <c r="D36" s="54"/>
      <c r="E36" s="35"/>
      <c r="F36" s="35"/>
      <c r="G36" s="28"/>
      <c r="H36" s="46"/>
    </row>
    <row r="37" spans="1:8" ht="15.75">
      <c r="A37" s="38"/>
      <c r="B37" s="54"/>
      <c r="C37" s="54"/>
      <c r="D37" s="54"/>
      <c r="E37" s="35"/>
      <c r="F37" s="35"/>
      <c r="G37" s="28"/>
      <c r="H37" s="46"/>
    </row>
    <row r="38" spans="1:8" ht="15.75">
      <c r="A38" s="38"/>
      <c r="B38" s="54"/>
      <c r="C38" s="54"/>
      <c r="D38" s="54"/>
      <c r="E38" s="35"/>
      <c r="F38" s="35"/>
      <c r="G38" s="28"/>
      <c r="H38" s="46"/>
    </row>
    <row r="39" spans="1:8" ht="15.75">
      <c r="A39" s="38"/>
      <c r="B39" s="54"/>
      <c r="C39" s="54"/>
      <c r="D39" s="54"/>
      <c r="E39" s="35"/>
      <c r="F39" s="35"/>
      <c r="G39" s="28"/>
      <c r="H39" s="46"/>
    </row>
    <row r="40" spans="1:8" ht="15.75">
      <c r="A40" s="38"/>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B43" s="225"/>
      <c r="C43" s="54"/>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8"/>
      <c r="C47" s="53"/>
      <c r="D47" s="53"/>
      <c r="E47" s="53"/>
      <c r="F47" s="39"/>
      <c r="G47" s="47"/>
      <c r="H47" s="40"/>
    </row>
    <row r="48" spans="1:8" ht="15.75">
      <c r="A48" s="73" t="s">
        <v>122</v>
      </c>
      <c r="B48" s="229"/>
      <c r="C48" s="75"/>
      <c r="D48" s="76"/>
      <c r="E48" s="77"/>
      <c r="F48" s="75"/>
      <c r="G48" s="75"/>
      <c r="H48" s="78"/>
    </row>
    <row r="49" spans="1:8" ht="15" customHeight="1">
      <c r="A49" s="313" t="s">
        <v>130</v>
      </c>
      <c r="B49" s="341"/>
      <c r="C49" s="314"/>
      <c r="D49" s="314"/>
      <c r="E49" s="314"/>
      <c r="F49" s="314"/>
      <c r="G49" s="314"/>
      <c r="H49" s="315"/>
    </row>
    <row r="50" spans="1:8" ht="15.75">
      <c r="A50" s="48"/>
      <c r="B50" s="33"/>
      <c r="C50" s="49"/>
      <c r="D50" s="49"/>
      <c r="E50" s="49"/>
      <c r="F50" s="50"/>
      <c r="G50" s="51"/>
      <c r="H50" s="52"/>
    </row>
    <row r="51" spans="1:8">
      <c r="A51" s="27"/>
      <c r="B51" s="29"/>
      <c r="C51" s="30"/>
      <c r="D51" s="31"/>
      <c r="E51" s="32"/>
      <c r="F51" s="30"/>
      <c r="G51" s="30"/>
      <c r="H51" s="30"/>
    </row>
  </sheetData>
  <mergeCells count="11">
    <mergeCell ref="C9:E9"/>
    <mergeCell ref="D33:F33"/>
    <mergeCell ref="C10:D10"/>
    <mergeCell ref="A49:H49"/>
    <mergeCell ref="A2:H2"/>
    <mergeCell ref="A3:H3"/>
    <mergeCell ref="A4:H4"/>
    <mergeCell ref="B6:H6"/>
    <mergeCell ref="B7:H7"/>
    <mergeCell ref="B8:F8"/>
    <mergeCell ref="B22:B23"/>
  </mergeCells>
  <pageMargins left="0.51181102362204722" right="0.51181102362204722" top="0.78740157480314965" bottom="0.78740157480314965"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E12" sqref="E12"/>
    </sheetView>
  </sheetViews>
  <sheetFormatPr defaultRowHeight="15"/>
  <cols>
    <col min="1" max="1" width="12.28515625" customWidth="1"/>
    <col min="2" max="2" width="29.140625" customWidth="1"/>
    <col min="3" max="3" width="8.28515625" bestFit="1" customWidth="1"/>
    <col min="4" max="4" width="12.140625" bestFit="1" customWidth="1"/>
    <col min="5" max="5" width="11.7109375" bestFit="1" customWidth="1"/>
    <col min="6" max="6" width="10.28515625" customWidth="1"/>
    <col min="7" max="7" width="10.42578125" customWidth="1"/>
    <col min="8" max="8" width="8.28515625" bestFit="1" customWidth="1"/>
  </cols>
  <sheetData>
    <row r="1" spans="1:8" ht="20.25">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c r="A5" s="34"/>
      <c r="B5" s="35"/>
      <c r="C5" s="36"/>
      <c r="D5" s="36"/>
      <c r="E5" s="26"/>
      <c r="F5" s="36"/>
      <c r="G5" s="36"/>
      <c r="H5" s="37"/>
    </row>
    <row r="6" spans="1:8">
      <c r="A6" s="59">
        <v>1</v>
      </c>
      <c r="B6" s="326" t="s">
        <v>123</v>
      </c>
      <c r="C6" s="326"/>
      <c r="D6" s="326"/>
      <c r="E6" s="326"/>
      <c r="F6" s="326"/>
      <c r="G6" s="326"/>
      <c r="H6" s="327"/>
    </row>
    <row r="7" spans="1:8" ht="32.25" customHeight="1">
      <c r="A7" s="60">
        <v>106</v>
      </c>
      <c r="B7" s="328" t="s">
        <v>335</v>
      </c>
      <c r="C7" s="328"/>
      <c r="D7" s="328"/>
      <c r="E7" s="328"/>
      <c r="F7" s="328"/>
      <c r="G7" s="328"/>
      <c r="H7" s="329"/>
    </row>
    <row r="8" spans="1:8" ht="15.75" customHeight="1">
      <c r="A8" s="61"/>
      <c r="B8" s="330"/>
      <c r="C8" s="331"/>
      <c r="D8" s="331"/>
      <c r="E8" s="331"/>
      <c r="F8" s="331"/>
      <c r="G8" s="62" t="s">
        <v>124</v>
      </c>
      <c r="H8" s="63" t="s">
        <v>198</v>
      </c>
    </row>
    <row r="9" spans="1:8">
      <c r="A9" s="38"/>
      <c r="B9" s="27"/>
      <c r="C9" s="316"/>
      <c r="D9" s="316"/>
      <c r="E9" s="316"/>
      <c r="F9" s="39"/>
      <c r="G9" s="53"/>
      <c r="H9" s="40"/>
    </row>
    <row r="10" spans="1:8" ht="15.75">
      <c r="A10" s="41" t="s">
        <v>113</v>
      </c>
      <c r="B10" s="27"/>
      <c r="C10" s="340" t="s">
        <v>152</v>
      </c>
      <c r="D10" s="340"/>
      <c r="E10" s="53"/>
      <c r="F10" s="39"/>
      <c r="G10" s="53"/>
      <c r="H10" s="40"/>
    </row>
    <row r="11" spans="1:8" ht="31.5">
      <c r="A11" s="38"/>
      <c r="B11" s="65" t="s">
        <v>114</v>
      </c>
      <c r="C11" s="65"/>
      <c r="D11" s="65" t="s">
        <v>129</v>
      </c>
      <c r="E11" s="66" t="s">
        <v>115</v>
      </c>
      <c r="F11" s="66" t="s">
        <v>160</v>
      </c>
      <c r="G11" s="66" t="s">
        <v>9</v>
      </c>
      <c r="H11" s="40"/>
    </row>
    <row r="12" spans="1:8">
      <c r="A12" s="64"/>
      <c r="B12" s="67" t="s">
        <v>131</v>
      </c>
      <c r="C12" s="68"/>
      <c r="D12" s="67"/>
      <c r="E12" s="69"/>
      <c r="F12" s="70"/>
      <c r="G12" s="70">
        <f>E18</f>
        <v>53.75</v>
      </c>
      <c r="H12" s="40"/>
    </row>
    <row r="13" spans="1:8" ht="15.75">
      <c r="A13" s="38"/>
      <c r="B13" s="79" t="s">
        <v>9</v>
      </c>
      <c r="C13" s="80"/>
      <c r="D13" s="80"/>
      <c r="E13" s="80"/>
      <c r="F13" s="80"/>
      <c r="G13" s="81">
        <f>G12</f>
        <v>53.75</v>
      </c>
      <c r="H13" s="40"/>
    </row>
    <row r="14" spans="1:8">
      <c r="A14" s="38"/>
      <c r="B14" s="35"/>
      <c r="C14" s="35"/>
      <c r="D14" s="35"/>
      <c r="E14" s="35"/>
      <c r="F14" s="35"/>
      <c r="G14" s="35"/>
      <c r="H14" s="40"/>
    </row>
    <row r="15" spans="1:8" ht="15.75">
      <c r="A15" s="42"/>
      <c r="B15" s="71" t="s">
        <v>117</v>
      </c>
      <c r="C15" s="72">
        <v>287.10000000000002</v>
      </c>
      <c r="D15" s="158" t="s">
        <v>215</v>
      </c>
      <c r="E15" s="158" t="s">
        <v>224</v>
      </c>
      <c r="F15" s="158" t="s">
        <v>245</v>
      </c>
      <c r="G15" s="158" t="s">
        <v>251</v>
      </c>
      <c r="H15" s="43"/>
    </row>
    <row r="16" spans="1:8" ht="15.75">
      <c r="A16" s="44"/>
      <c r="B16" s="71" t="s">
        <v>118</v>
      </c>
      <c r="C16" s="72">
        <f>173.68+E18</f>
        <v>227.43</v>
      </c>
      <c r="D16" s="158">
        <v>92.63</v>
      </c>
      <c r="E16" s="158">
        <v>100.03</v>
      </c>
      <c r="F16" s="158">
        <v>115.58</v>
      </c>
      <c r="G16" s="158">
        <v>139.18</v>
      </c>
      <c r="H16" s="43"/>
    </row>
    <row r="17" spans="1:10" ht="15.75">
      <c r="A17" s="44"/>
      <c r="B17" s="71" t="s">
        <v>119</v>
      </c>
      <c r="C17" s="72">
        <f>C15-C16</f>
        <v>59.670000000000016</v>
      </c>
      <c r="D17" s="201" t="s">
        <v>283</v>
      </c>
      <c r="E17" s="201" t="s">
        <v>334</v>
      </c>
      <c r="F17" s="202"/>
      <c r="G17" s="202"/>
      <c r="H17" s="43"/>
    </row>
    <row r="18" spans="1:10" ht="15.75">
      <c r="A18" s="55"/>
      <c r="B18" s="71" t="s">
        <v>120</v>
      </c>
      <c r="C18" s="72"/>
      <c r="D18" s="202">
        <f>(3.08+3.94+3.33+3.45)*2.5</f>
        <v>34.5</v>
      </c>
      <c r="E18" s="202">
        <f>21.5*2.5</f>
        <v>53.75</v>
      </c>
      <c r="F18" s="202"/>
      <c r="G18" s="202"/>
      <c r="H18" s="43"/>
    </row>
    <row r="19" spans="1:10" ht="15.75">
      <c r="A19" s="55"/>
      <c r="B19" s="71" t="s">
        <v>121</v>
      </c>
      <c r="C19" s="72">
        <f>G13</f>
        <v>53.75</v>
      </c>
      <c r="D19" s="35"/>
      <c r="E19" s="35"/>
      <c r="F19" s="35"/>
      <c r="G19" s="35"/>
      <c r="H19" s="43"/>
    </row>
    <row r="20" spans="1:10">
      <c r="A20" s="55"/>
      <c r="H20" s="43"/>
    </row>
    <row r="21" spans="1:10" ht="16.5">
      <c r="A21" s="55"/>
      <c r="B21" s="347"/>
      <c r="C21" s="347"/>
      <c r="D21" s="347"/>
      <c r="E21" s="347"/>
      <c r="H21" s="43"/>
    </row>
    <row r="22" spans="1:10" ht="16.5">
      <c r="A22" s="55"/>
      <c r="B22" s="347"/>
      <c r="C22" s="347"/>
      <c r="H22" s="43"/>
    </row>
    <row r="23" spans="1:10">
      <c r="A23" s="55"/>
      <c r="H23" s="43"/>
    </row>
    <row r="24" spans="1:10">
      <c r="A24" s="55"/>
      <c r="H24" s="43"/>
      <c r="J24" t="s">
        <v>299</v>
      </c>
    </row>
    <row r="25" spans="1:10" ht="15.75">
      <c r="A25" s="38"/>
      <c r="B25" s="45"/>
      <c r="C25" s="35"/>
      <c r="D25" s="35"/>
      <c r="E25" s="35"/>
      <c r="F25" s="35"/>
      <c r="G25" s="35"/>
      <c r="H25" s="43"/>
    </row>
    <row r="26" spans="1:10" ht="15.75">
      <c r="A26" s="38"/>
      <c r="B26" s="45"/>
      <c r="C26" s="35"/>
      <c r="D26" s="35"/>
      <c r="E26" s="35"/>
      <c r="F26" s="35"/>
      <c r="G26" s="35"/>
      <c r="H26" s="43"/>
    </row>
    <row r="27" spans="1:10" ht="15.75">
      <c r="A27" s="38"/>
      <c r="B27" s="45"/>
      <c r="C27" s="35"/>
      <c r="D27" s="35"/>
      <c r="E27" s="35"/>
      <c r="F27" s="35"/>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ht="15.75">
      <c r="A35" s="38"/>
      <c r="B35" s="45"/>
      <c r="C35" s="35"/>
      <c r="D35" s="35"/>
      <c r="E35" s="35"/>
      <c r="F35" s="35"/>
      <c r="G35" s="35"/>
      <c r="H35" s="43"/>
    </row>
    <row r="36" spans="1:8" ht="60" customHeight="1">
      <c r="A36" s="38"/>
      <c r="B36" s="45"/>
      <c r="C36" s="35"/>
      <c r="D36" s="339"/>
      <c r="E36" s="339"/>
      <c r="F36" s="339"/>
      <c r="G36" s="54"/>
      <c r="H36" s="43"/>
    </row>
    <row r="37" spans="1:8" ht="15.75">
      <c r="A37" s="38"/>
      <c r="B37" s="45"/>
      <c r="C37" s="35"/>
      <c r="D37" s="35"/>
      <c r="E37" s="35"/>
      <c r="F37" s="35"/>
      <c r="G37" s="35"/>
      <c r="H37" s="43"/>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313" t="s">
        <v>134</v>
      </c>
      <c r="B52" s="314"/>
      <c r="C52" s="314"/>
      <c r="D52" s="314"/>
      <c r="E52" s="314"/>
      <c r="F52" s="314"/>
      <c r="G52" s="314"/>
      <c r="H52" s="315"/>
    </row>
    <row r="53" spans="1:8" ht="15.75">
      <c r="A53" s="48"/>
      <c r="B53" s="33"/>
      <c r="C53" s="49"/>
      <c r="D53" s="49"/>
      <c r="E53" s="49"/>
      <c r="F53" s="50"/>
      <c r="G53" s="51"/>
      <c r="H53" s="52"/>
    </row>
    <row r="54" spans="1:8">
      <c r="A54" s="27"/>
      <c r="B54" s="29"/>
      <c r="C54" s="30"/>
      <c r="D54" s="31"/>
      <c r="E54" s="32"/>
      <c r="F54" s="30"/>
      <c r="G54" s="30"/>
      <c r="H54" s="30"/>
    </row>
  </sheetData>
  <mergeCells count="12">
    <mergeCell ref="C9:E9"/>
    <mergeCell ref="C10:D10"/>
    <mergeCell ref="D36:F36"/>
    <mergeCell ref="A52:H52"/>
    <mergeCell ref="B22:C22"/>
    <mergeCell ref="B21:E21"/>
    <mergeCell ref="B8:F8"/>
    <mergeCell ref="A2:H2"/>
    <mergeCell ref="A3:H3"/>
    <mergeCell ref="A4:H4"/>
    <mergeCell ref="B6:H6"/>
    <mergeCell ref="B7:H7"/>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4"/>
  <sheetViews>
    <sheetView view="pageBreakPreview" topLeftCell="A8" zoomScaleSheetLayoutView="100" workbookViewId="0">
      <selection activeCell="E16" sqref="E16"/>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c r="A5" s="34"/>
      <c r="B5" s="35"/>
      <c r="C5" s="36"/>
      <c r="D5" s="36"/>
      <c r="E5" s="26"/>
      <c r="F5" s="36"/>
      <c r="G5" s="36"/>
      <c r="H5" s="37"/>
    </row>
    <row r="6" spans="1:8">
      <c r="A6" s="59">
        <v>1</v>
      </c>
      <c r="B6" s="326" t="s">
        <v>123</v>
      </c>
      <c r="C6" s="326"/>
      <c r="D6" s="326"/>
      <c r="E6" s="326"/>
      <c r="F6" s="326"/>
      <c r="G6" s="326"/>
      <c r="H6" s="327"/>
    </row>
    <row r="7" spans="1:8" ht="32.25" customHeight="1">
      <c r="A7" s="60">
        <v>107</v>
      </c>
      <c r="B7" s="326" t="s">
        <v>132</v>
      </c>
      <c r="C7" s="326"/>
      <c r="D7" s="326"/>
      <c r="E7" s="326"/>
      <c r="F7" s="326"/>
      <c r="G7" s="326"/>
      <c r="H7" s="327"/>
    </row>
    <row r="8" spans="1:8" ht="15.75" customHeight="1">
      <c r="A8" s="61"/>
      <c r="B8" s="330"/>
      <c r="C8" s="331"/>
      <c r="D8" s="331"/>
      <c r="E8" s="331"/>
      <c r="F8" s="331"/>
      <c r="G8" s="62" t="s">
        <v>124</v>
      </c>
      <c r="H8" s="63" t="s">
        <v>125</v>
      </c>
    </row>
    <row r="9" spans="1:8">
      <c r="A9" s="115"/>
      <c r="B9" s="29"/>
      <c r="C9" s="353"/>
      <c r="D9" s="353"/>
      <c r="E9" s="353"/>
      <c r="F9" s="32"/>
      <c r="G9" s="30"/>
      <c r="H9" s="116"/>
    </row>
    <row r="10" spans="1:8" ht="15.75">
      <c r="A10" s="41" t="s">
        <v>113</v>
      </c>
      <c r="B10" s="27"/>
      <c r="C10" s="340" t="s">
        <v>152</v>
      </c>
      <c r="D10" s="340"/>
      <c r="E10" s="53"/>
      <c r="F10" s="39"/>
      <c r="G10" s="53"/>
      <c r="H10" s="40"/>
    </row>
    <row r="11" spans="1:8" ht="15.75">
      <c r="A11" s="38"/>
      <c r="B11" s="117" t="s">
        <v>114</v>
      </c>
      <c r="C11" s="117"/>
      <c r="D11" s="181" t="s">
        <v>255</v>
      </c>
      <c r="E11" s="221" t="s">
        <v>115</v>
      </c>
      <c r="F11" s="221" t="s">
        <v>116</v>
      </c>
      <c r="G11" s="221" t="s">
        <v>9</v>
      </c>
      <c r="H11" s="40"/>
    </row>
    <row r="12" spans="1:8">
      <c r="A12" s="64"/>
      <c r="B12" s="118" t="s">
        <v>133</v>
      </c>
      <c r="C12" s="119"/>
      <c r="D12" s="118"/>
      <c r="E12" s="120"/>
      <c r="F12" s="121"/>
      <c r="G12" s="121"/>
      <c r="H12" s="40"/>
    </row>
    <row r="13" spans="1:8" ht="15.75">
      <c r="A13" s="38"/>
      <c r="B13" s="122" t="s">
        <v>9</v>
      </c>
      <c r="C13" s="123"/>
      <c r="D13" s="123"/>
      <c r="E13" s="123"/>
      <c r="F13" s="351">
        <f>G12</f>
        <v>0</v>
      </c>
      <c r="G13" s="352"/>
      <c r="H13" s="40"/>
    </row>
    <row r="14" spans="1:8" ht="7.5" customHeight="1">
      <c r="A14" s="38"/>
      <c r="B14" s="35"/>
      <c r="C14" s="35"/>
      <c r="D14" s="35"/>
      <c r="E14" s="35"/>
      <c r="F14" s="35"/>
      <c r="G14" s="35"/>
      <c r="H14" s="40"/>
    </row>
    <row r="15" spans="1:8" ht="15.75">
      <c r="A15" s="42"/>
      <c r="B15" s="124" t="s">
        <v>117</v>
      </c>
      <c r="C15" s="125">
        <v>7000</v>
      </c>
      <c r="D15" s="35"/>
      <c r="E15" s="35" t="s">
        <v>331</v>
      </c>
      <c r="F15" s="35"/>
      <c r="G15" s="35"/>
      <c r="H15" s="43"/>
    </row>
    <row r="16" spans="1:8" ht="15.75">
      <c r="A16" s="44"/>
      <c r="B16" s="124" t="s">
        <v>118</v>
      </c>
      <c r="C16" s="125">
        <v>6999.9969999999994</v>
      </c>
      <c r="D16" s="35"/>
      <c r="E16" s="35">
        <f>6*21.5</f>
        <v>129</v>
      </c>
      <c r="F16" s="35"/>
      <c r="G16" s="35"/>
      <c r="H16" s="43"/>
    </row>
    <row r="17" spans="1:10" ht="15.75">
      <c r="A17" s="44"/>
      <c r="B17" s="124" t="s">
        <v>119</v>
      </c>
      <c r="C17" s="125">
        <f>C15-C16</f>
        <v>3.0000000006111804E-3</v>
      </c>
      <c r="D17" s="35"/>
      <c r="E17" s="35"/>
      <c r="F17" s="35"/>
      <c r="G17" s="35"/>
      <c r="H17" s="43"/>
    </row>
    <row r="18" spans="1:10" ht="15.75">
      <c r="A18" s="55"/>
      <c r="B18" s="124" t="s">
        <v>120</v>
      </c>
      <c r="C18" s="125">
        <f>C16-C15</f>
        <v>-3.0000000006111804E-3</v>
      </c>
      <c r="D18" s="35"/>
      <c r="E18" s="35"/>
      <c r="F18" s="35"/>
      <c r="G18" s="35"/>
      <c r="H18" s="43"/>
    </row>
    <row r="19" spans="1:10" ht="15.75">
      <c r="A19" s="55"/>
      <c r="B19" s="124" t="s">
        <v>121</v>
      </c>
      <c r="C19" s="125"/>
      <c r="D19" s="35"/>
      <c r="E19" s="35"/>
      <c r="F19" s="35"/>
      <c r="G19" s="35"/>
      <c r="H19" s="43"/>
    </row>
    <row r="20" spans="1:10">
      <c r="A20" s="55"/>
      <c r="H20" s="43"/>
    </row>
    <row r="21" spans="1:10">
      <c r="A21" s="55"/>
      <c r="H21" s="43"/>
    </row>
    <row r="22" spans="1:10">
      <c r="A22" s="55"/>
      <c r="H22" s="43"/>
    </row>
    <row r="23" spans="1:10">
      <c r="A23" s="55"/>
      <c r="H23" s="43"/>
    </row>
    <row r="24" spans="1:10">
      <c r="A24" s="55"/>
      <c r="H24" s="43"/>
      <c r="J24" t="s">
        <v>299</v>
      </c>
    </row>
    <row r="25" spans="1:10" ht="15.75">
      <c r="A25" s="38"/>
      <c r="B25" s="45"/>
      <c r="C25" s="35"/>
      <c r="D25" s="35"/>
      <c r="E25" s="35"/>
      <c r="F25" s="35"/>
      <c r="G25" s="35"/>
      <c r="H25" s="43"/>
    </row>
    <row r="26" spans="1:10" ht="15.75">
      <c r="A26" s="38"/>
      <c r="B26" s="45"/>
      <c r="C26" s="35"/>
      <c r="D26" s="35"/>
      <c r="E26" s="35"/>
      <c r="F26" s="35"/>
      <c r="G26" s="35"/>
      <c r="H26" s="43"/>
    </row>
    <row r="27" spans="1:10" ht="15.75">
      <c r="A27" s="38"/>
      <c r="B27" s="45"/>
      <c r="C27" s="35"/>
      <c r="D27" s="35"/>
      <c r="E27" s="35"/>
      <c r="F27" s="35"/>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ht="15.75">
      <c r="A35" s="38"/>
      <c r="B35" s="45"/>
      <c r="C35" s="35"/>
      <c r="D35" s="35"/>
      <c r="E35" s="35"/>
      <c r="F35" s="35"/>
      <c r="G35" s="35"/>
      <c r="H35" s="43"/>
    </row>
    <row r="36" spans="1:8" ht="60" customHeight="1">
      <c r="A36" s="38"/>
      <c r="B36" s="45"/>
      <c r="C36" s="35"/>
      <c r="D36" s="339"/>
      <c r="E36" s="339"/>
      <c r="F36" s="339"/>
      <c r="G36" s="54"/>
      <c r="H36" s="43"/>
    </row>
    <row r="37" spans="1:8" ht="15.75">
      <c r="A37" s="38"/>
      <c r="B37" s="45"/>
      <c r="C37" s="35"/>
      <c r="D37" s="35"/>
      <c r="E37" s="35"/>
      <c r="F37" s="35"/>
      <c r="G37" s="35"/>
      <c r="H37" s="43"/>
    </row>
    <row r="38" spans="1:8" ht="15.75">
      <c r="A38" s="38"/>
      <c r="D38" s="54"/>
      <c r="E38" s="35"/>
      <c r="H38" s="46"/>
    </row>
    <row r="39" spans="1:8" ht="15.75">
      <c r="A39" s="38"/>
      <c r="D39" s="54"/>
      <c r="E39" s="35"/>
      <c r="G39" s="28"/>
      <c r="H39" s="46"/>
    </row>
    <row r="40" spans="1:8" ht="15.75">
      <c r="A40" s="38"/>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ustomHeight="1">
      <c r="A44" s="64"/>
      <c r="B44" s="227" t="s">
        <v>194</v>
      </c>
      <c r="C44" s="28"/>
      <c r="H44" s="46"/>
    </row>
    <row r="45" spans="1:8" ht="15.75">
      <c r="A45" s="64"/>
      <c r="B45" s="227" t="s">
        <v>193</v>
      </c>
      <c r="C45" s="54"/>
      <c r="D45" s="54"/>
      <c r="E45" s="35"/>
      <c r="F45" s="35"/>
      <c r="H45" s="46"/>
    </row>
    <row r="46" spans="1:8" ht="15.75">
      <c r="A46" s="38"/>
      <c r="B46" s="225" t="s">
        <v>195</v>
      </c>
      <c r="C46" s="54">
        <f>50.76*73.93</f>
        <v>3752.6868000000004</v>
      </c>
      <c r="D46" s="54" t="s">
        <v>125</v>
      </c>
      <c r="E46" s="35"/>
      <c r="F46" s="35"/>
      <c r="G46" s="28"/>
      <c r="H46" s="46"/>
    </row>
    <row r="47" spans="1:8" ht="15.75" customHeight="1">
      <c r="A47" s="354" t="s">
        <v>243</v>
      </c>
      <c r="B47" s="355"/>
      <c r="C47" s="171" t="s">
        <v>242</v>
      </c>
      <c r="D47" s="54">
        <f>(7.14+2.47)*50</f>
        <v>480.5</v>
      </c>
      <c r="E47" s="360" t="s">
        <v>253</v>
      </c>
      <c r="F47" s="360"/>
      <c r="G47" s="360"/>
      <c r="H47" s="360"/>
    </row>
    <row r="48" spans="1:8" ht="15.75" customHeight="1">
      <c r="A48" s="354" t="s">
        <v>252</v>
      </c>
      <c r="B48" s="355"/>
      <c r="C48" s="173" t="s">
        <v>254</v>
      </c>
      <c r="D48" s="54">
        <f>19.41*50*2</f>
        <v>1941</v>
      </c>
      <c r="E48" s="360"/>
      <c r="F48" s="360"/>
      <c r="G48" s="360"/>
      <c r="H48" s="360"/>
    </row>
    <row r="49" spans="1:8" ht="15.75">
      <c r="A49" s="354" t="s">
        <v>243</v>
      </c>
      <c r="B49" s="355"/>
      <c r="C49" s="54">
        <f>(33.4+37.57)*(1.14+2.42+1.17+2.41)*2</f>
        <v>1013.4516</v>
      </c>
      <c r="D49" s="54" t="s">
        <v>125</v>
      </c>
      <c r="E49" s="356" t="s">
        <v>284</v>
      </c>
      <c r="F49" s="356"/>
      <c r="G49" s="356"/>
      <c r="H49" s="357"/>
    </row>
    <row r="50" spans="1:8" ht="15.75" customHeight="1">
      <c r="A50" s="38"/>
      <c r="B50" s="27"/>
      <c r="C50" s="53"/>
      <c r="D50" s="53"/>
      <c r="E50" s="358"/>
      <c r="F50" s="358"/>
      <c r="G50" s="358"/>
      <c r="H50" s="359"/>
    </row>
    <row r="51" spans="1:8" ht="15.75">
      <c r="A51" s="126" t="s">
        <v>122</v>
      </c>
      <c r="B51" s="29"/>
      <c r="C51" s="30"/>
      <c r="D51" s="31"/>
      <c r="E51" s="32"/>
      <c r="F51" s="30"/>
      <c r="G51" s="30"/>
      <c r="H51" s="116"/>
    </row>
    <row r="52" spans="1:8" ht="15" customHeight="1">
      <c r="A52" s="313" t="s">
        <v>134</v>
      </c>
      <c r="B52" s="314"/>
      <c r="C52" s="314"/>
      <c r="D52" s="314"/>
      <c r="E52" s="314"/>
      <c r="F52" s="314"/>
      <c r="G52" s="314"/>
      <c r="H52" s="315"/>
    </row>
    <row r="53" spans="1:8" ht="16.5">
      <c r="A53" s="348"/>
      <c r="B53" s="349"/>
      <c r="C53" s="349"/>
      <c r="D53" s="349"/>
      <c r="E53" s="349"/>
      <c r="F53" s="349"/>
      <c r="G53" s="349"/>
      <c r="H53" s="350"/>
    </row>
    <row r="54" spans="1:8">
      <c r="A54" s="27"/>
      <c r="B54" s="27"/>
      <c r="C54" s="53"/>
      <c r="D54" s="114"/>
      <c r="E54" s="39"/>
      <c r="F54" s="53"/>
      <c r="G54" s="53"/>
      <c r="H54" s="53"/>
    </row>
  </sheetData>
  <mergeCells count="18">
    <mergeCell ref="B8:F8"/>
    <mergeCell ref="A2:H2"/>
    <mergeCell ref="A3:H3"/>
    <mergeCell ref="A4:H4"/>
    <mergeCell ref="B6:H6"/>
    <mergeCell ref="B7:H7"/>
    <mergeCell ref="A53:H53"/>
    <mergeCell ref="F13:G13"/>
    <mergeCell ref="C9:E9"/>
    <mergeCell ref="C10:D10"/>
    <mergeCell ref="D36:F36"/>
    <mergeCell ref="A52:H52"/>
    <mergeCell ref="A47:B47"/>
    <mergeCell ref="A48:B48"/>
    <mergeCell ref="A49:B49"/>
    <mergeCell ref="E49:H49"/>
    <mergeCell ref="E50:H50"/>
    <mergeCell ref="E47:H4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J54"/>
  <sheetViews>
    <sheetView view="pageBreakPreview" topLeftCell="A6" zoomScaleSheetLayoutView="100" workbookViewId="0">
      <selection activeCell="E18" sqref="E18"/>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c r="A5" s="34"/>
      <c r="B5" s="35"/>
      <c r="C5" s="36"/>
      <c r="D5" s="36"/>
      <c r="E5" s="26"/>
      <c r="F5" s="36"/>
      <c r="G5" s="36"/>
      <c r="H5" s="37"/>
    </row>
    <row r="6" spans="1:8">
      <c r="A6" s="59">
        <v>1</v>
      </c>
      <c r="B6" s="326" t="s">
        <v>123</v>
      </c>
      <c r="C6" s="326"/>
      <c r="D6" s="326"/>
      <c r="E6" s="326"/>
      <c r="F6" s="326"/>
      <c r="G6" s="326"/>
      <c r="H6" s="327"/>
    </row>
    <row r="7" spans="1:8" ht="33" customHeight="1">
      <c r="A7" s="60">
        <v>108</v>
      </c>
      <c r="B7" s="361" t="s">
        <v>63</v>
      </c>
      <c r="C7" s="361"/>
      <c r="D7" s="361"/>
      <c r="E7" s="361"/>
      <c r="F7" s="361"/>
      <c r="G7" s="361"/>
      <c r="H7" s="362"/>
    </row>
    <row r="8" spans="1:8" ht="15.75" customHeight="1">
      <c r="A8" s="61"/>
      <c r="B8" s="330"/>
      <c r="C8" s="331"/>
      <c r="D8" s="331"/>
      <c r="E8" s="331"/>
      <c r="F8" s="331"/>
      <c r="G8" s="62" t="s">
        <v>124</v>
      </c>
      <c r="H8" s="82" t="s">
        <v>135</v>
      </c>
    </row>
    <row r="9" spans="1:8">
      <c r="A9" s="38"/>
      <c r="B9" s="27"/>
      <c r="C9" s="316"/>
      <c r="D9" s="316"/>
      <c r="E9" s="316"/>
      <c r="F9" s="39"/>
      <c r="G9" s="53"/>
      <c r="H9" s="40"/>
    </row>
    <row r="10" spans="1:8">
      <c r="A10" s="323" t="s">
        <v>113</v>
      </c>
      <c r="B10" s="324"/>
      <c r="C10" s="340" t="s">
        <v>153</v>
      </c>
      <c r="D10" s="340"/>
      <c r="E10" s="340"/>
      <c r="F10" s="39"/>
      <c r="G10" s="53"/>
      <c r="H10" s="40"/>
    </row>
    <row r="11" spans="1:8" ht="15.75">
      <c r="A11" s="38"/>
      <c r="B11" s="65" t="s">
        <v>114</v>
      </c>
      <c r="C11" s="65"/>
      <c r="D11" s="65" t="s">
        <v>129</v>
      </c>
      <c r="E11" s="66" t="s">
        <v>115</v>
      </c>
      <c r="F11" s="66" t="s">
        <v>116</v>
      </c>
      <c r="G11" s="66" t="s">
        <v>9</v>
      </c>
      <c r="H11" s="40"/>
    </row>
    <row r="12" spans="1:8">
      <c r="A12" s="64"/>
      <c r="B12" s="67" t="s">
        <v>148</v>
      </c>
      <c r="C12" s="68"/>
      <c r="D12" s="67"/>
      <c r="E12" s="69"/>
      <c r="F12" s="70"/>
      <c r="G12" s="70"/>
      <c r="H12" s="40"/>
    </row>
    <row r="13" spans="1:8" ht="15.75">
      <c r="A13" s="38"/>
      <c r="B13" s="79" t="s">
        <v>9</v>
      </c>
      <c r="C13" s="80"/>
      <c r="D13" s="80"/>
      <c r="E13" s="80"/>
      <c r="F13" s="80"/>
      <c r="G13" s="81">
        <f>SUM(G12:G12)</f>
        <v>0</v>
      </c>
      <c r="H13" s="40"/>
    </row>
    <row r="14" spans="1:8">
      <c r="A14" s="38"/>
      <c r="B14" s="35"/>
      <c r="C14" s="35"/>
      <c r="D14" s="35"/>
      <c r="E14" s="35"/>
      <c r="F14" s="35"/>
      <c r="G14" s="35"/>
      <c r="H14" s="40"/>
    </row>
    <row r="15" spans="1:8" ht="15.75">
      <c r="A15" s="42"/>
      <c r="B15" s="71" t="s">
        <v>117</v>
      </c>
      <c r="C15" s="72">
        <v>1200</v>
      </c>
      <c r="D15" s="35"/>
      <c r="E15" s="35"/>
      <c r="F15" s="35"/>
      <c r="G15" s="35"/>
      <c r="H15" s="43"/>
    </row>
    <row r="16" spans="1:8" ht="15.75">
      <c r="A16" s="44"/>
      <c r="B16" s="71" t="s">
        <v>118</v>
      </c>
      <c r="C16" s="72">
        <f>506.52+168.84+168.84+168.84+168.84+18.12</f>
        <v>1200</v>
      </c>
      <c r="D16" s="35"/>
      <c r="E16" s="35"/>
      <c r="F16" s="35"/>
      <c r="G16" s="35"/>
      <c r="H16" s="43"/>
    </row>
    <row r="17" spans="1:10" ht="15.75">
      <c r="A17" s="44"/>
      <c r="B17" s="71" t="s">
        <v>119</v>
      </c>
      <c r="C17" s="72">
        <f>C15-C16</f>
        <v>0</v>
      </c>
      <c r="D17" s="35"/>
      <c r="E17" s="35"/>
      <c r="F17" s="113"/>
      <c r="G17" s="35"/>
      <c r="H17" s="43"/>
    </row>
    <row r="18" spans="1:10" ht="15.75">
      <c r="A18" s="55"/>
      <c r="B18" s="71" t="s">
        <v>120</v>
      </c>
      <c r="C18" s="72"/>
      <c r="D18" s="35"/>
      <c r="E18" s="113"/>
      <c r="F18" s="35"/>
      <c r="G18" s="35"/>
      <c r="H18" s="43"/>
    </row>
    <row r="19" spans="1:10" ht="15.75">
      <c r="A19" s="55"/>
      <c r="B19" s="71" t="s">
        <v>121</v>
      </c>
      <c r="C19" s="72">
        <f>G12</f>
        <v>0</v>
      </c>
      <c r="D19" s="35"/>
      <c r="E19" s="35"/>
      <c r="F19" s="35"/>
      <c r="G19" s="35"/>
      <c r="H19" s="43"/>
    </row>
    <row r="20" spans="1:10">
      <c r="A20" s="55"/>
      <c r="H20" s="43"/>
    </row>
    <row r="21" spans="1:10" ht="15.75">
      <c r="A21" s="55"/>
      <c r="B21" s="127" t="s">
        <v>161</v>
      </c>
      <c r="H21" s="43"/>
    </row>
    <row r="22" spans="1:10">
      <c r="A22" s="55"/>
      <c r="B22" s="27"/>
      <c r="H22" s="43"/>
    </row>
    <row r="23" spans="1:10">
      <c r="A23" s="55"/>
      <c r="H23" s="43"/>
    </row>
    <row r="24" spans="1:10">
      <c r="A24" s="55"/>
      <c r="H24" s="43"/>
      <c r="J24" t="s">
        <v>299</v>
      </c>
    </row>
    <row r="25" spans="1:10" ht="15.75">
      <c r="A25" s="38"/>
      <c r="B25" s="45"/>
      <c r="C25" s="35"/>
      <c r="D25" s="35"/>
      <c r="E25" s="35"/>
      <c r="F25" s="35"/>
      <c r="G25" s="35"/>
      <c r="H25" s="43"/>
    </row>
    <row r="26" spans="1:10" ht="15.75">
      <c r="A26" s="38"/>
      <c r="B26" s="45"/>
      <c r="C26" s="35"/>
      <c r="D26" s="35"/>
      <c r="E26" s="35"/>
      <c r="F26" s="35"/>
      <c r="G26" s="35"/>
      <c r="H26" s="43"/>
    </row>
    <row r="27" spans="1:10" ht="15.75">
      <c r="A27" s="38"/>
      <c r="B27" s="45"/>
      <c r="C27" s="35"/>
      <c r="D27" s="35"/>
      <c r="E27" s="35"/>
      <c r="F27" s="35"/>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c r="C35" s="35"/>
      <c r="D35" s="35"/>
      <c r="E35" s="35"/>
      <c r="F35" s="35"/>
      <c r="G35" s="35"/>
      <c r="H35" s="43"/>
    </row>
    <row r="36" spans="1:8" ht="60" customHeight="1">
      <c r="A36" s="38"/>
      <c r="B36" s="45"/>
      <c r="C36" s="35"/>
      <c r="D36" s="339"/>
      <c r="E36" s="339"/>
      <c r="F36" s="339"/>
      <c r="G36" s="54"/>
      <c r="H36" s="43"/>
    </row>
    <row r="37" spans="1:8" ht="15.75">
      <c r="A37" s="38"/>
      <c r="B37" s="45"/>
      <c r="C37" s="35"/>
      <c r="D37" s="35"/>
      <c r="E37" s="35"/>
      <c r="F37" s="35"/>
      <c r="G37" s="35"/>
      <c r="H37" s="43"/>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313" t="s">
        <v>134</v>
      </c>
      <c r="B52" s="314"/>
      <c r="C52" s="314"/>
      <c r="D52" s="314"/>
      <c r="E52" s="314"/>
      <c r="F52" s="314"/>
      <c r="G52" s="314"/>
      <c r="H52" s="315"/>
    </row>
    <row r="53" spans="1:8" ht="15.75">
      <c r="A53" s="48"/>
      <c r="B53" s="33"/>
      <c r="C53" s="49"/>
      <c r="D53" s="49"/>
      <c r="E53" s="49"/>
      <c r="F53" s="50"/>
      <c r="G53" s="51"/>
      <c r="H53" s="52"/>
    </row>
    <row r="54" spans="1:8">
      <c r="A54" s="27"/>
      <c r="B54" s="29"/>
      <c r="C54" s="30"/>
      <c r="D54" s="31"/>
      <c r="E54" s="32"/>
      <c r="F54" s="30"/>
      <c r="G54" s="30"/>
      <c r="H54" s="30"/>
    </row>
  </sheetData>
  <mergeCells count="11">
    <mergeCell ref="C9:E9"/>
    <mergeCell ref="D36:F36"/>
    <mergeCell ref="A52:H52"/>
    <mergeCell ref="A2:H2"/>
    <mergeCell ref="A3:H3"/>
    <mergeCell ref="A4:H4"/>
    <mergeCell ref="B6:H6"/>
    <mergeCell ref="B7:H7"/>
    <mergeCell ref="B8:F8"/>
    <mergeCell ref="C10:E10"/>
    <mergeCell ref="A10:B10"/>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sqref="A1:H5"/>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c r="A5" s="34"/>
      <c r="B5" s="35"/>
      <c r="C5" s="36"/>
      <c r="D5" s="36"/>
      <c r="E5" s="26"/>
      <c r="F5" s="36"/>
      <c r="G5" s="36"/>
      <c r="H5" s="37"/>
    </row>
    <row r="6" spans="1:8">
      <c r="A6" s="59">
        <v>1</v>
      </c>
      <c r="B6" s="326" t="s">
        <v>123</v>
      </c>
      <c r="C6" s="326"/>
      <c r="D6" s="326"/>
      <c r="E6" s="326"/>
      <c r="F6" s="326"/>
      <c r="G6" s="326"/>
      <c r="H6" s="327"/>
    </row>
    <row r="7" spans="1:8" ht="49.5" customHeight="1">
      <c r="A7" s="60">
        <v>109</v>
      </c>
      <c r="B7" s="363" t="s">
        <v>64</v>
      </c>
      <c r="C7" s="363"/>
      <c r="D7" s="363"/>
      <c r="E7" s="363"/>
      <c r="F7" s="363"/>
      <c r="G7" s="363"/>
      <c r="H7" s="364"/>
    </row>
    <row r="8" spans="1:8" ht="15.75" customHeight="1">
      <c r="A8" s="61"/>
      <c r="B8" s="330"/>
      <c r="C8" s="331"/>
      <c r="D8" s="331"/>
      <c r="E8" s="331"/>
      <c r="F8" s="331"/>
      <c r="G8" s="62" t="s">
        <v>124</v>
      </c>
      <c r="H8" s="82" t="s">
        <v>198</v>
      </c>
    </row>
    <row r="9" spans="1:8">
      <c r="A9" s="38"/>
      <c r="B9" s="27"/>
      <c r="C9" s="316"/>
      <c r="D9" s="316"/>
      <c r="E9" s="316"/>
      <c r="F9" s="39"/>
      <c r="G9" s="53"/>
      <c r="H9" s="40"/>
    </row>
    <row r="10" spans="1:8" ht="15.75">
      <c r="A10" s="41" t="s">
        <v>113</v>
      </c>
      <c r="B10" s="27"/>
      <c r="C10" s="340" t="s">
        <v>154</v>
      </c>
      <c r="D10" s="340"/>
      <c r="E10" s="53"/>
      <c r="F10" s="39"/>
      <c r="G10" s="53"/>
      <c r="H10" s="40"/>
    </row>
    <row r="11" spans="1:8" ht="15.75">
      <c r="A11" s="38"/>
      <c r="B11" s="65" t="s">
        <v>114</v>
      </c>
      <c r="C11" s="65"/>
      <c r="D11" s="65" t="s">
        <v>129</v>
      </c>
      <c r="E11" s="66" t="s">
        <v>115</v>
      </c>
      <c r="F11" s="66" t="s">
        <v>116</v>
      </c>
      <c r="G11" s="66" t="s">
        <v>9</v>
      </c>
      <c r="H11" s="40"/>
    </row>
    <row r="12" spans="1:8">
      <c r="A12" s="64"/>
      <c r="B12" s="67" t="s">
        <v>147</v>
      </c>
      <c r="C12" s="68"/>
      <c r="D12" s="67"/>
      <c r="E12" s="69"/>
      <c r="F12" s="70"/>
      <c r="G12" s="70"/>
      <c r="H12" s="40"/>
    </row>
    <row r="13" spans="1:8" ht="15.75">
      <c r="A13" s="38"/>
      <c r="B13" s="79" t="s">
        <v>9</v>
      </c>
      <c r="C13" s="80"/>
      <c r="D13" s="80"/>
      <c r="E13" s="80"/>
      <c r="F13" s="80"/>
      <c r="G13" s="81">
        <f>SUM(G12:G12)</f>
        <v>0</v>
      </c>
      <c r="H13" s="40"/>
    </row>
    <row r="14" spans="1:8">
      <c r="A14" s="38"/>
      <c r="B14" s="35"/>
      <c r="C14" s="35"/>
      <c r="D14" s="35"/>
      <c r="E14" s="35"/>
      <c r="F14" s="35"/>
      <c r="G14" s="35"/>
      <c r="H14" s="40"/>
    </row>
    <row r="15" spans="1:8" ht="15.75">
      <c r="A15" s="42"/>
      <c r="B15" s="71" t="s">
        <v>117</v>
      </c>
      <c r="C15" s="72">
        <v>1200</v>
      </c>
      <c r="D15" s="35"/>
      <c r="E15" s="35"/>
      <c r="F15" s="35"/>
      <c r="G15" s="35"/>
      <c r="H15" s="43"/>
    </row>
    <row r="16" spans="1:8" ht="15.75">
      <c r="A16" s="44"/>
      <c r="B16" s="71" t="s">
        <v>118</v>
      </c>
      <c r="C16" s="72">
        <f>675.36+168.84+168.84+168.84+18.12</f>
        <v>1200</v>
      </c>
      <c r="D16" s="35"/>
      <c r="E16" s="35"/>
      <c r="F16" s="35"/>
      <c r="G16" s="35"/>
      <c r="H16" s="43"/>
    </row>
    <row r="17" spans="1:10" ht="15.75">
      <c r="A17" s="44"/>
      <c r="B17" s="71" t="s">
        <v>119</v>
      </c>
      <c r="C17" s="196">
        <f>C15-C16</f>
        <v>0</v>
      </c>
      <c r="D17" s="35"/>
      <c r="E17" s="35"/>
      <c r="F17" s="35"/>
      <c r="G17" s="35"/>
      <c r="H17" s="43"/>
    </row>
    <row r="18" spans="1:10" ht="15.75">
      <c r="A18" s="55"/>
      <c r="B18" s="71" t="s">
        <v>120</v>
      </c>
      <c r="C18" s="72"/>
      <c r="D18" s="35"/>
      <c r="E18" s="35"/>
      <c r="F18" s="35"/>
      <c r="G18" s="35"/>
      <c r="H18" s="43"/>
    </row>
    <row r="19" spans="1:10" ht="15.75">
      <c r="A19" s="55"/>
      <c r="B19" s="71" t="s">
        <v>121</v>
      </c>
      <c r="C19" s="72">
        <f>G12</f>
        <v>0</v>
      </c>
      <c r="D19" s="35"/>
      <c r="E19" s="35"/>
      <c r="F19" s="35"/>
      <c r="G19" s="35"/>
      <c r="H19" s="43"/>
    </row>
    <row r="20" spans="1:10" ht="15.75">
      <c r="A20" s="55"/>
      <c r="B20" s="45"/>
      <c r="H20" s="43"/>
    </row>
    <row r="21" spans="1:10">
      <c r="A21" s="55"/>
      <c r="H21" s="43"/>
    </row>
    <row r="22" spans="1:10">
      <c r="A22" s="55"/>
      <c r="H22" s="43"/>
    </row>
    <row r="23" spans="1:10">
      <c r="A23" s="55"/>
      <c r="H23" s="43"/>
    </row>
    <row r="24" spans="1:10">
      <c r="A24" s="55"/>
      <c r="H24" s="43"/>
      <c r="J24" t="s">
        <v>299</v>
      </c>
    </row>
    <row r="25" spans="1:10" ht="15.75">
      <c r="A25" s="38"/>
      <c r="B25" s="45"/>
      <c r="C25" s="35"/>
      <c r="D25" s="35"/>
      <c r="E25" s="35"/>
      <c r="F25" s="35"/>
      <c r="G25" s="35"/>
      <c r="H25" s="43"/>
    </row>
    <row r="26" spans="1:10" ht="15.75">
      <c r="A26" s="38"/>
      <c r="B26" s="45"/>
      <c r="C26" s="35"/>
      <c r="D26" s="35"/>
      <c r="E26" s="35"/>
      <c r="F26" s="35"/>
      <c r="G26" s="35"/>
      <c r="H26" s="43"/>
    </row>
    <row r="27" spans="1:10" ht="15.75">
      <c r="A27" s="38"/>
      <c r="B27" s="45"/>
      <c r="C27" s="35"/>
      <c r="D27" s="35"/>
      <c r="E27" s="35"/>
      <c r="F27" s="35"/>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c r="A35" s="38"/>
      <c r="C35" s="35"/>
      <c r="D35" s="35"/>
      <c r="E35" s="35"/>
      <c r="F35" s="35"/>
      <c r="G35" s="35"/>
      <c r="H35" s="43"/>
    </row>
    <row r="36" spans="1:8" ht="60" customHeight="1">
      <c r="A36" s="38"/>
      <c r="B36" s="45"/>
      <c r="C36" s="35"/>
      <c r="D36" s="339"/>
      <c r="E36" s="339"/>
      <c r="F36" s="339"/>
      <c r="G36" s="54"/>
      <c r="H36" s="43"/>
    </row>
    <row r="37" spans="1:8" ht="15.75">
      <c r="A37" s="38"/>
      <c r="B37" s="45"/>
      <c r="C37" s="35"/>
      <c r="D37" s="35"/>
      <c r="E37" s="35"/>
      <c r="F37" s="35"/>
      <c r="G37" s="35"/>
      <c r="H37" s="43"/>
    </row>
    <row r="38" spans="1:8" ht="15.75">
      <c r="A38" s="38"/>
      <c r="B38" s="54"/>
      <c r="C38" s="54"/>
      <c r="D38" s="54"/>
      <c r="E38" s="35"/>
      <c r="F38" s="35"/>
      <c r="G38" s="28"/>
      <c r="H38" s="46"/>
    </row>
    <row r="39" spans="1:8" ht="15.75">
      <c r="A39" s="38"/>
      <c r="B39" s="54"/>
      <c r="C39" s="54"/>
      <c r="D39" s="54"/>
      <c r="E39" s="35"/>
      <c r="F39" s="35"/>
      <c r="G39" s="28"/>
      <c r="H39" s="46"/>
    </row>
    <row r="40" spans="1:8" ht="15.75">
      <c r="A40" s="38"/>
      <c r="B40" s="54"/>
      <c r="C40" s="54"/>
      <c r="D40" s="54"/>
      <c r="E40" s="35"/>
      <c r="F40" s="35"/>
      <c r="G40" s="28"/>
      <c r="H40" s="46"/>
    </row>
    <row r="41" spans="1:8" ht="15.75">
      <c r="A41" s="38"/>
      <c r="B41" s="54"/>
      <c r="C41" s="54"/>
      <c r="D41" s="54"/>
      <c r="E41" s="35"/>
      <c r="F41" s="35"/>
      <c r="G41" s="28"/>
      <c r="H41" s="46"/>
    </row>
    <row r="42" spans="1:8" ht="15.75">
      <c r="A42" s="38"/>
      <c r="B42" s="54"/>
      <c r="C42" s="54"/>
      <c r="D42" s="54"/>
      <c r="E42" s="35"/>
      <c r="F42" s="35"/>
      <c r="G42" s="28"/>
      <c r="H42" s="46"/>
    </row>
    <row r="43" spans="1:8" ht="15.75">
      <c r="A43" s="38"/>
      <c r="D43" s="54"/>
      <c r="E43" s="35"/>
      <c r="F43" s="35"/>
      <c r="G43" s="28"/>
      <c r="H43" s="46"/>
    </row>
    <row r="44" spans="1:8" ht="15.75">
      <c r="A44" s="38"/>
      <c r="B44" s="225"/>
      <c r="C44" s="54"/>
      <c r="D44" s="54"/>
      <c r="E44" s="35"/>
      <c r="F44" s="35"/>
      <c r="G44" s="28"/>
      <c r="H44" s="46"/>
    </row>
    <row r="45" spans="1:8" ht="15.75">
      <c r="A45" s="38"/>
      <c r="B45" s="225"/>
      <c r="C45" s="54"/>
      <c r="D45" s="54"/>
      <c r="E45" s="35"/>
      <c r="F45" s="35"/>
      <c r="G45" s="28"/>
      <c r="H45" s="46"/>
    </row>
    <row r="46" spans="1:8" ht="15.75">
      <c r="A46" s="38"/>
      <c r="B46" s="225"/>
      <c r="C46" s="54"/>
      <c r="D46" s="54"/>
      <c r="E46" s="35"/>
      <c r="F46" s="35"/>
      <c r="G46" s="28"/>
      <c r="H46" s="46"/>
    </row>
    <row r="47" spans="1:8" ht="15.75">
      <c r="A47" s="38"/>
      <c r="B47" s="225"/>
      <c r="C47" s="54"/>
      <c r="D47" s="54"/>
      <c r="E47" s="35"/>
      <c r="F47" s="35"/>
      <c r="G47" s="28"/>
      <c r="H47" s="46"/>
    </row>
    <row r="48" spans="1:8" ht="15.75">
      <c r="A48" s="38"/>
      <c r="B48" s="225"/>
      <c r="C48" s="54"/>
      <c r="D48" s="54"/>
      <c r="E48" s="35"/>
      <c r="F48" s="35"/>
      <c r="G48" s="28"/>
      <c r="H48" s="46"/>
    </row>
    <row r="49" spans="1:8" ht="15.75">
      <c r="A49" s="38"/>
      <c r="B49" s="225"/>
      <c r="C49" s="54"/>
      <c r="D49" s="54"/>
      <c r="E49" s="35"/>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313" t="s">
        <v>134</v>
      </c>
      <c r="B52" s="314"/>
      <c r="C52" s="314"/>
      <c r="D52" s="314"/>
      <c r="E52" s="314"/>
      <c r="F52" s="314"/>
      <c r="G52" s="314"/>
      <c r="H52" s="315"/>
    </row>
    <row r="53" spans="1:8" ht="15.75">
      <c r="A53" s="48"/>
      <c r="B53" s="33"/>
      <c r="C53" s="49"/>
      <c r="D53" s="49"/>
      <c r="E53" s="49"/>
      <c r="F53" s="50"/>
      <c r="G53" s="51"/>
      <c r="H53" s="52"/>
    </row>
    <row r="54" spans="1:8">
      <c r="A54" s="27"/>
      <c r="B54" s="29"/>
      <c r="C54" s="30"/>
      <c r="D54" s="31"/>
      <c r="E54" s="32"/>
      <c r="F54" s="30"/>
      <c r="G54" s="30"/>
      <c r="H54" s="30"/>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J54"/>
  <sheetViews>
    <sheetView view="pageBreakPreview" zoomScaleSheetLayoutView="100" workbookViewId="0">
      <selection activeCell="E14" sqref="E14"/>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 min="10" max="10" width="13.42578125" customWidth="1"/>
    <col min="11" max="11" width="12.140625" customWidth="1"/>
    <col min="12" max="12" width="13.5703125" customWidth="1"/>
  </cols>
  <sheetData>
    <row r="1" spans="1:8" ht="20.25">
      <c r="A1" s="56"/>
      <c r="B1" s="57"/>
      <c r="C1" s="57"/>
      <c r="D1" s="57"/>
      <c r="E1" s="57"/>
      <c r="F1" s="57"/>
      <c r="G1" s="57"/>
      <c r="H1" s="58"/>
    </row>
    <row r="2" spans="1:8" ht="15.75">
      <c r="A2" s="317" t="s">
        <v>343</v>
      </c>
      <c r="B2" s="318"/>
      <c r="C2" s="318"/>
      <c r="D2" s="318"/>
      <c r="E2" s="318"/>
      <c r="F2" s="318"/>
      <c r="G2" s="318"/>
      <c r="H2" s="319"/>
    </row>
    <row r="3" spans="1:8">
      <c r="A3" s="320" t="s">
        <v>308</v>
      </c>
      <c r="B3" s="321"/>
      <c r="C3" s="321"/>
      <c r="D3" s="321"/>
      <c r="E3" s="321"/>
      <c r="F3" s="321"/>
      <c r="G3" s="321"/>
      <c r="H3" s="322"/>
    </row>
    <row r="4" spans="1:8">
      <c r="A4" s="323" t="s">
        <v>350</v>
      </c>
      <c r="B4" s="324"/>
      <c r="C4" s="324"/>
      <c r="D4" s="324"/>
      <c r="E4" s="324"/>
      <c r="F4" s="324"/>
      <c r="G4" s="324"/>
      <c r="H4" s="325"/>
    </row>
    <row r="5" spans="1:8">
      <c r="A5" s="34"/>
      <c r="B5" s="35"/>
      <c r="C5" s="36"/>
      <c r="D5" s="36"/>
      <c r="E5" s="26"/>
      <c r="F5" s="36"/>
      <c r="G5" s="36"/>
      <c r="H5" s="37"/>
    </row>
    <row r="6" spans="1:8">
      <c r="A6" s="59">
        <v>1</v>
      </c>
      <c r="B6" s="342" t="s">
        <v>123</v>
      </c>
      <c r="C6" s="342"/>
      <c r="D6" s="342"/>
      <c r="E6" s="342"/>
      <c r="F6" s="342"/>
      <c r="G6" s="342"/>
      <c r="H6" s="343"/>
    </row>
    <row r="7" spans="1:8" ht="49.5" customHeight="1">
      <c r="A7" s="60">
        <v>110</v>
      </c>
      <c r="B7" s="367" t="s">
        <v>65</v>
      </c>
      <c r="C7" s="367"/>
      <c r="D7" s="367"/>
      <c r="E7" s="367"/>
      <c r="F7" s="367"/>
      <c r="G7" s="367"/>
      <c r="H7" s="368"/>
    </row>
    <row r="8" spans="1:8" ht="15.75" customHeight="1">
      <c r="A8" s="61"/>
      <c r="B8" s="330"/>
      <c r="C8" s="331"/>
      <c r="D8" s="331"/>
      <c r="E8" s="331"/>
      <c r="F8" s="331"/>
      <c r="G8" s="62" t="s">
        <v>124</v>
      </c>
      <c r="H8" s="82" t="s">
        <v>8</v>
      </c>
    </row>
    <row r="9" spans="1:8">
      <c r="A9" s="38"/>
      <c r="B9" s="27"/>
      <c r="C9" s="316"/>
      <c r="D9" s="316"/>
      <c r="E9" s="316"/>
      <c r="F9" s="39"/>
      <c r="G9" s="53"/>
      <c r="H9" s="40"/>
    </row>
    <row r="10" spans="1:8">
      <c r="A10" s="204" t="s">
        <v>113</v>
      </c>
      <c r="B10" s="203"/>
      <c r="C10" s="365" t="s">
        <v>226</v>
      </c>
      <c r="D10" s="365"/>
      <c r="E10" s="53"/>
      <c r="F10" s="39"/>
      <c r="G10" s="53"/>
      <c r="H10" s="40"/>
    </row>
    <row r="11" spans="1:8" ht="15.75">
      <c r="A11" s="38"/>
      <c r="B11" s="65" t="s">
        <v>114</v>
      </c>
      <c r="C11" s="65"/>
      <c r="D11" s="65" t="s">
        <v>129</v>
      </c>
      <c r="E11" s="66" t="s">
        <v>115</v>
      </c>
      <c r="F11" s="66" t="s">
        <v>116</v>
      </c>
      <c r="G11" s="66" t="s">
        <v>9</v>
      </c>
      <c r="H11" s="40"/>
    </row>
    <row r="12" spans="1:8">
      <c r="A12" s="64"/>
      <c r="B12" s="152" t="s">
        <v>216</v>
      </c>
      <c r="C12" s="68"/>
      <c r="D12" s="67"/>
      <c r="E12" s="69"/>
      <c r="F12" s="70"/>
      <c r="G12" s="70"/>
      <c r="H12" s="40"/>
    </row>
    <row r="13" spans="1:8" ht="15.75">
      <c r="A13" s="38"/>
      <c r="B13" s="79" t="s">
        <v>9</v>
      </c>
      <c r="C13" s="80"/>
      <c r="D13" s="80"/>
      <c r="E13" s="80"/>
      <c r="F13" s="80"/>
      <c r="G13" s="81">
        <f>SUM(G12:G12)</f>
        <v>0</v>
      </c>
      <c r="H13" s="40"/>
    </row>
    <row r="14" spans="1:8">
      <c r="A14" s="38"/>
      <c r="B14" s="35"/>
      <c r="C14" s="35"/>
      <c r="D14" s="35"/>
      <c r="E14" s="35"/>
      <c r="F14" s="35"/>
      <c r="G14" s="35"/>
      <c r="H14" s="40"/>
    </row>
    <row r="15" spans="1:8" ht="15.75">
      <c r="A15" s="42"/>
      <c r="B15" s="71" t="s">
        <v>117</v>
      </c>
      <c r="C15" s="72">
        <v>3</v>
      </c>
      <c r="D15" s="35"/>
      <c r="E15" s="35"/>
      <c r="F15" s="35"/>
      <c r="G15" s="35"/>
      <c r="H15" s="43"/>
    </row>
    <row r="16" spans="1:8" ht="15.75">
      <c r="A16" s="44"/>
      <c r="B16" s="71" t="s">
        <v>118</v>
      </c>
      <c r="C16" s="72">
        <v>3</v>
      </c>
      <c r="D16" s="35"/>
      <c r="E16" s="35"/>
      <c r="F16" s="35"/>
      <c r="G16" s="35"/>
      <c r="H16" s="43"/>
    </row>
    <row r="17" spans="1:10" ht="15.75">
      <c r="A17" s="44"/>
      <c r="B17" s="71" t="s">
        <v>119</v>
      </c>
      <c r="C17" s="72">
        <f>C15-C16</f>
        <v>0</v>
      </c>
      <c r="D17" s="35"/>
      <c r="E17" s="35"/>
      <c r="F17" s="35"/>
      <c r="G17" s="35"/>
      <c r="H17" s="43"/>
    </row>
    <row r="18" spans="1:10" ht="15.75">
      <c r="A18" s="55"/>
      <c r="B18" s="71" t="s">
        <v>120</v>
      </c>
      <c r="C18" s="72"/>
      <c r="D18" s="35"/>
      <c r="E18" s="35"/>
      <c r="F18" s="35"/>
      <c r="G18" s="35"/>
      <c r="H18" s="43"/>
    </row>
    <row r="19" spans="1:10" ht="15.75">
      <c r="A19" s="55"/>
      <c r="B19" s="71" t="s">
        <v>121</v>
      </c>
      <c r="C19" s="72">
        <f>G12</f>
        <v>0</v>
      </c>
      <c r="D19" s="35"/>
      <c r="E19" s="35"/>
      <c r="F19" s="35"/>
      <c r="G19" s="35"/>
      <c r="H19" s="43"/>
    </row>
    <row r="20" spans="1:10" ht="15.75">
      <c r="A20" s="55"/>
      <c r="B20" s="45"/>
      <c r="H20" s="43"/>
    </row>
    <row r="21" spans="1:10">
      <c r="A21" s="55"/>
      <c r="H21" s="43"/>
    </row>
    <row r="22" spans="1:10">
      <c r="A22" s="55"/>
      <c r="H22" s="43"/>
    </row>
    <row r="23" spans="1:10">
      <c r="A23" s="55"/>
      <c r="H23" s="43"/>
    </row>
    <row r="24" spans="1:10">
      <c r="A24" s="55"/>
      <c r="H24" s="43"/>
      <c r="J24" t="s">
        <v>299</v>
      </c>
    </row>
    <row r="25" spans="1:10" ht="15.75">
      <c r="A25" s="38"/>
      <c r="B25" s="45"/>
      <c r="C25" s="35"/>
      <c r="D25" s="35"/>
      <c r="E25" s="35"/>
      <c r="F25" s="35"/>
      <c r="G25" s="35"/>
      <c r="H25" s="43"/>
    </row>
    <row r="26" spans="1:10" ht="15.75">
      <c r="A26" s="38"/>
      <c r="B26" s="45"/>
      <c r="C26" s="35"/>
      <c r="D26" s="35"/>
      <c r="E26" s="35"/>
      <c r="F26" s="35"/>
      <c r="G26" s="35"/>
      <c r="H26" s="43"/>
    </row>
    <row r="27" spans="1:10" ht="15.75">
      <c r="A27" s="38"/>
      <c r="B27" s="45"/>
      <c r="C27" s="35"/>
      <c r="D27" s="35"/>
      <c r="E27" s="35"/>
      <c r="F27" s="35"/>
      <c r="G27" s="35"/>
      <c r="H27" s="43"/>
    </row>
    <row r="28" spans="1:10" ht="15.75">
      <c r="A28" s="38"/>
      <c r="B28" s="45"/>
      <c r="C28" s="35"/>
      <c r="D28" s="35"/>
      <c r="E28" s="35"/>
      <c r="F28" s="35"/>
      <c r="G28" s="35"/>
      <c r="H28" s="43"/>
    </row>
    <row r="29" spans="1:10" ht="15.75">
      <c r="A29" s="38"/>
      <c r="B29" s="45"/>
      <c r="C29" s="35"/>
      <c r="D29" s="35"/>
      <c r="E29" s="35"/>
      <c r="F29" s="35"/>
      <c r="G29" s="35"/>
      <c r="H29" s="43"/>
    </row>
    <row r="30" spans="1:10" ht="15.75">
      <c r="A30" s="38"/>
      <c r="B30" s="45"/>
      <c r="C30" s="35"/>
      <c r="D30" s="35"/>
      <c r="E30" s="35"/>
      <c r="G30" s="35"/>
      <c r="H30" s="43"/>
    </row>
    <row r="31" spans="1:10" ht="15.75">
      <c r="A31" s="38"/>
      <c r="B31" s="45"/>
      <c r="C31" s="35"/>
      <c r="D31" s="35"/>
      <c r="E31" s="35"/>
      <c r="F31" s="35"/>
      <c r="G31" s="35"/>
      <c r="H31" s="43"/>
    </row>
    <row r="32" spans="1:10" ht="15.75">
      <c r="A32" s="38"/>
      <c r="B32" s="45"/>
      <c r="C32" s="35"/>
      <c r="D32" s="35"/>
      <c r="E32" s="35"/>
      <c r="F32" s="35"/>
      <c r="G32" s="35"/>
      <c r="H32" s="43"/>
    </row>
    <row r="33" spans="1:8" ht="15.75">
      <c r="A33" s="38"/>
      <c r="B33" s="45"/>
      <c r="C33" s="35"/>
      <c r="D33" s="35"/>
      <c r="E33" s="35"/>
      <c r="F33" s="35"/>
      <c r="G33" s="35"/>
      <c r="H33" s="43"/>
    </row>
    <row r="34" spans="1:8" ht="15.75">
      <c r="A34" s="38"/>
      <c r="B34" s="45"/>
      <c r="C34" s="35"/>
      <c r="D34" s="35"/>
      <c r="E34" s="35"/>
      <c r="F34" s="35"/>
      <c r="G34" s="35"/>
      <c r="H34" s="43"/>
    </row>
    <row r="35" spans="1:8">
      <c r="A35" s="38"/>
      <c r="C35" s="35"/>
      <c r="D35" s="35"/>
      <c r="E35" s="35"/>
      <c r="F35" s="35"/>
      <c r="G35" s="35"/>
      <c r="H35" s="43"/>
    </row>
    <row r="36" spans="1:8" ht="15.75">
      <c r="A36" s="38"/>
      <c r="B36" s="45"/>
      <c r="C36" s="35"/>
      <c r="D36" s="339"/>
      <c r="E36" s="339"/>
      <c r="F36" s="339"/>
      <c r="G36" s="54"/>
      <c r="H36" s="43"/>
    </row>
    <row r="37" spans="1:8" ht="15.75">
      <c r="A37" s="38"/>
      <c r="B37" s="366"/>
      <c r="C37" s="366"/>
      <c r="D37" s="366"/>
      <c r="E37" s="366"/>
      <c r="F37" s="366"/>
      <c r="G37" s="366"/>
      <c r="H37" s="43"/>
    </row>
    <row r="38" spans="1:8" ht="15.75">
      <c r="A38" s="38"/>
      <c r="B38" s="54"/>
      <c r="C38" s="54"/>
      <c r="D38" s="54"/>
      <c r="E38" s="35"/>
      <c r="F38" s="35"/>
      <c r="G38" s="28"/>
      <c r="H38" s="46"/>
    </row>
    <row r="39" spans="1:8" ht="15.75">
      <c r="A39" s="38"/>
      <c r="B39" s="54"/>
      <c r="C39" s="54"/>
      <c r="D39" s="54"/>
      <c r="E39" s="35"/>
      <c r="F39" s="35"/>
      <c r="G39" s="28"/>
      <c r="H39" s="46"/>
    </row>
    <row r="40" spans="1:8" ht="30">
      <c r="A40" s="38"/>
      <c r="B40" s="182" t="s">
        <v>256</v>
      </c>
      <c r="C40" s="141" t="s">
        <v>257</v>
      </c>
      <c r="D40" s="183" t="s">
        <v>258</v>
      </c>
      <c r="E40" s="35"/>
      <c r="F40" s="35"/>
      <c r="G40" s="28"/>
      <c r="H40" s="46"/>
    </row>
    <row r="41" spans="1:8" ht="15.75">
      <c r="A41" s="38"/>
      <c r="B41" s="142">
        <v>1.5</v>
      </c>
      <c r="C41" s="174">
        <v>6</v>
      </c>
      <c r="D41" s="151">
        <f>B41*C41</f>
        <v>9</v>
      </c>
      <c r="E41" s="35"/>
      <c r="F41" s="35"/>
      <c r="G41" s="28"/>
      <c r="H41" s="46"/>
    </row>
    <row r="42" spans="1:8" ht="15.75">
      <c r="A42" s="38"/>
      <c r="B42" s="142">
        <v>1</v>
      </c>
      <c r="C42" s="174">
        <v>2</v>
      </c>
      <c r="D42" s="151">
        <f t="shared" ref="D42:D47" si="0">B42*C42</f>
        <v>2</v>
      </c>
      <c r="E42" s="35"/>
      <c r="F42" s="35"/>
      <c r="G42" s="28"/>
      <c r="H42" s="46"/>
    </row>
    <row r="43" spans="1:8" ht="15.75">
      <c r="A43" s="38"/>
      <c r="B43" s="226">
        <v>2</v>
      </c>
      <c r="C43" s="174">
        <v>2</v>
      </c>
      <c r="D43" s="151">
        <f t="shared" si="0"/>
        <v>4</v>
      </c>
      <c r="E43" s="35"/>
      <c r="F43" s="35"/>
      <c r="G43" s="28"/>
      <c r="H43" s="46"/>
    </row>
    <row r="44" spans="1:8" ht="15.75">
      <c r="A44" s="38"/>
      <c r="B44" s="226">
        <v>2.5</v>
      </c>
      <c r="C44" s="174">
        <v>2</v>
      </c>
      <c r="D44" s="151">
        <f t="shared" si="0"/>
        <v>5</v>
      </c>
      <c r="E44" s="35"/>
      <c r="F44" s="35"/>
      <c r="G44" s="28"/>
      <c r="H44" s="46"/>
    </row>
    <row r="45" spans="1:8" ht="15.75">
      <c r="A45" s="38"/>
      <c r="B45" s="226">
        <v>3</v>
      </c>
      <c r="C45" s="174">
        <v>2</v>
      </c>
      <c r="D45" s="151">
        <f t="shared" si="0"/>
        <v>6</v>
      </c>
      <c r="E45" s="184"/>
      <c r="F45" s="157"/>
      <c r="G45" s="28"/>
      <c r="H45" s="46"/>
    </row>
    <row r="46" spans="1:8" ht="15.75">
      <c r="A46" s="38"/>
      <c r="B46" s="226">
        <v>5</v>
      </c>
      <c r="C46" s="174">
        <v>1</v>
      </c>
      <c r="D46" s="151">
        <f t="shared" si="0"/>
        <v>5</v>
      </c>
      <c r="E46" s="184"/>
      <c r="F46" s="157"/>
      <c r="G46" s="28"/>
      <c r="H46" s="46"/>
    </row>
    <row r="47" spans="1:8" ht="15.75">
      <c r="A47" s="38"/>
      <c r="B47" s="226">
        <v>6</v>
      </c>
      <c r="C47" s="174">
        <v>3</v>
      </c>
      <c r="D47" s="151">
        <f t="shared" si="0"/>
        <v>18</v>
      </c>
      <c r="E47" s="184"/>
      <c r="F47" s="35"/>
      <c r="G47" s="28"/>
      <c r="H47" s="46"/>
    </row>
    <row r="48" spans="1:8" ht="15.75">
      <c r="A48" s="38"/>
      <c r="B48" s="141"/>
      <c r="C48" s="174" t="s">
        <v>229</v>
      </c>
      <c r="D48" s="151">
        <f>SUM(D41:D47)</f>
        <v>49</v>
      </c>
      <c r="E48" s="35"/>
      <c r="F48" s="35"/>
      <c r="G48" s="28"/>
      <c r="H48" s="46"/>
    </row>
    <row r="49" spans="1:8" ht="15.75">
      <c r="A49" s="38"/>
      <c r="B49" s="336" t="s">
        <v>259</v>
      </c>
      <c r="C49" s="338"/>
      <c r="D49" s="151">
        <f>D48/3</f>
        <v>16.333333333333332</v>
      </c>
      <c r="E49" s="197" t="s">
        <v>285</v>
      </c>
      <c r="F49" s="35"/>
      <c r="G49" s="28"/>
      <c r="H49" s="46"/>
    </row>
    <row r="50" spans="1:8" ht="15.75">
      <c r="A50" s="38"/>
      <c r="B50" s="27"/>
      <c r="C50" s="53"/>
      <c r="D50" s="53"/>
      <c r="E50" s="53"/>
      <c r="F50" s="39"/>
      <c r="G50" s="47"/>
      <c r="H50" s="40"/>
    </row>
    <row r="51" spans="1:8" ht="15.75">
      <c r="A51" s="73" t="s">
        <v>122</v>
      </c>
      <c r="B51" s="74"/>
      <c r="C51" s="75"/>
      <c r="D51" s="76"/>
      <c r="E51" s="77"/>
      <c r="F51" s="75"/>
      <c r="G51" s="75"/>
      <c r="H51" s="78"/>
    </row>
    <row r="52" spans="1:8" ht="15" customHeight="1">
      <c r="A52" s="313" t="s">
        <v>225</v>
      </c>
      <c r="B52" s="314"/>
      <c r="C52" s="314"/>
      <c r="D52" s="314"/>
      <c r="E52" s="314"/>
      <c r="F52" s="314"/>
      <c r="G52" s="314"/>
      <c r="H52" s="315"/>
    </row>
    <row r="53" spans="1:8" ht="15.75">
      <c r="A53" s="48"/>
      <c r="B53" s="33"/>
      <c r="C53" s="49"/>
      <c r="D53" s="49"/>
      <c r="E53" s="49"/>
      <c r="F53" s="50"/>
      <c r="G53" s="51"/>
      <c r="H53" s="52"/>
    </row>
    <row r="54" spans="1:8">
      <c r="A54" s="27"/>
      <c r="B54" s="29"/>
      <c r="C54" s="30"/>
      <c r="D54" s="31"/>
      <c r="E54" s="32"/>
      <c r="F54" s="30"/>
      <c r="G54" s="30"/>
      <c r="H54" s="30"/>
    </row>
  </sheetData>
  <mergeCells count="12">
    <mergeCell ref="B8:F8"/>
    <mergeCell ref="A2:H2"/>
    <mergeCell ref="A3:H3"/>
    <mergeCell ref="A4:H4"/>
    <mergeCell ref="B6:H6"/>
    <mergeCell ref="B7:H7"/>
    <mergeCell ref="B49:C49"/>
    <mergeCell ref="C9:E9"/>
    <mergeCell ref="C10:D10"/>
    <mergeCell ref="D36:F36"/>
    <mergeCell ref="A52:H52"/>
    <mergeCell ref="B37:G37"/>
  </mergeCells>
  <pageMargins left="0.51181102362204722" right="0.51181102362204722" top="0.78740157480314965" bottom="0.78740157480314965"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21</vt:i4>
      </vt:variant>
      <vt:variant>
        <vt:lpstr>Intervalos nomeados</vt:lpstr>
      </vt:variant>
      <vt:variant>
        <vt:i4>21</vt:i4>
      </vt:variant>
    </vt:vector>
  </HeadingPairs>
  <TitlesOfParts>
    <vt:vector size="42" baseType="lpstr">
      <vt:lpstr>BM17</vt:lpstr>
      <vt:lpstr>102</vt:lpstr>
      <vt:lpstr>104</vt:lpstr>
      <vt:lpstr>105</vt:lpstr>
      <vt:lpstr>106</vt:lpstr>
      <vt:lpstr>107</vt:lpstr>
      <vt:lpstr>108</vt:lpstr>
      <vt:lpstr>109</vt:lpstr>
      <vt:lpstr>110</vt:lpstr>
      <vt:lpstr>111</vt:lpstr>
      <vt:lpstr>112</vt:lpstr>
      <vt:lpstr>114</vt:lpstr>
      <vt:lpstr>115</vt:lpstr>
      <vt:lpstr>201</vt:lpstr>
      <vt:lpstr>202</vt:lpstr>
      <vt:lpstr>203</vt:lpstr>
      <vt:lpstr>204</vt:lpstr>
      <vt:lpstr>205</vt:lpstr>
      <vt:lpstr>210</vt:lpstr>
      <vt:lpstr>211</vt:lpstr>
      <vt:lpstr>COMPOSIÇÃO DO BDI EQUIPAMENTO</vt:lpstr>
      <vt:lpstr>'102'!Area_de_impressao</vt:lpstr>
      <vt:lpstr>'104'!Area_de_impressao</vt:lpstr>
      <vt:lpstr>'106'!Area_de_impressao</vt:lpstr>
      <vt:lpstr>'107'!Area_de_impressao</vt:lpstr>
      <vt:lpstr>'108'!Area_de_impressao</vt:lpstr>
      <vt:lpstr>'109'!Area_de_impressao</vt:lpstr>
      <vt:lpstr>'110'!Area_de_impressao</vt:lpstr>
      <vt:lpstr>'111'!Area_de_impressao</vt:lpstr>
      <vt:lpstr>'112'!Area_de_impressao</vt:lpstr>
      <vt:lpstr>'114'!Area_de_impressao</vt:lpstr>
      <vt:lpstr>'115'!Area_de_impressao</vt:lpstr>
      <vt:lpstr>'201'!Area_de_impressao</vt:lpstr>
      <vt:lpstr>'202'!Area_de_impressao</vt:lpstr>
      <vt:lpstr>'203'!Area_de_impressao</vt:lpstr>
      <vt:lpstr>'204'!Area_de_impressao</vt:lpstr>
      <vt:lpstr>'205'!Area_de_impressao</vt:lpstr>
      <vt:lpstr>'210'!Area_de_impressao</vt:lpstr>
      <vt:lpstr>'211'!Area_de_impressao</vt:lpstr>
      <vt:lpstr>'BM17'!Area_de_impressao</vt:lpstr>
      <vt:lpstr>'COMPOSIÇÃO DO BDI EQUIPAMENTO'!Area_de_impressao</vt:lpstr>
      <vt:lpstr>'BM17'!Titulos_de_impressao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2023-03-01T20:14:25Z</cp:lastPrinted>
  <dcterms:created xsi:type="dcterms:W3CDTF">2018-07-31T01:21:33Z</dcterms:created>
  <dcterms:modified xsi:type="dcterms:W3CDTF">2023-07-07T12:44:40Z</dcterms:modified>
</cp:coreProperties>
</file>