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lanilha de Custos comparativa" sheetId="1" r:id="rId1"/>
    <sheet name="Plan1" sheetId="2" r:id="rId2"/>
    <sheet name="decreto 20866" sheetId="3" r:id="rId3"/>
  </sheets>
  <definedNames/>
  <calcPr fullCalcOnLoad="1"/>
</workbook>
</file>

<file path=xl/comments3.xml><?xml version="1.0" encoding="utf-8"?>
<comments xmlns="http://schemas.openxmlformats.org/spreadsheetml/2006/main">
  <authors>
    <author>01648450466</author>
  </authors>
  <commentList>
    <comment ref="G19" authorId="0">
      <text>
        <r>
          <rPr>
            <sz val="9"/>
            <rFont val="Tahoma"/>
            <family val="2"/>
          </rPr>
          <t xml:space="preserve">Auxílio Saúde R$ 118,06
 - CCT Exame Médico R$ 0,01 conforme planilha inicial de formação de preço 
</t>
        </r>
      </text>
    </comment>
  </commentList>
</comments>
</file>

<file path=xl/sharedStrings.xml><?xml version="1.0" encoding="utf-8"?>
<sst xmlns="http://schemas.openxmlformats.org/spreadsheetml/2006/main" count="489" uniqueCount="241">
  <si>
    <t>Adicional Noturno</t>
  </si>
  <si>
    <t>Total</t>
  </si>
  <si>
    <t>Férias</t>
  </si>
  <si>
    <t>SEBRAE</t>
  </si>
  <si>
    <t>INCRA</t>
  </si>
  <si>
    <t>FGTS</t>
  </si>
  <si>
    <t>Insumos Diversos</t>
  </si>
  <si>
    <t>Lucro</t>
  </si>
  <si>
    <t>Módulo 1 - Composição da Remuneração</t>
  </si>
  <si>
    <t>Composição da Remuneração</t>
  </si>
  <si>
    <t>Valor (R$)</t>
  </si>
  <si>
    <t>A</t>
  </si>
  <si>
    <t>B</t>
  </si>
  <si>
    <t>Adicional de Periculosidade</t>
  </si>
  <si>
    <t>C</t>
  </si>
  <si>
    <t>Adicional de Insalubridade</t>
  </si>
  <si>
    <t>D</t>
  </si>
  <si>
    <t>E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</si>
  <si>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</si>
  <si>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</si>
  <si>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</si>
  <si>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</si>
  <si>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</si>
  <si>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</si>
  <si>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</si>
  <si>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</si>
  <si>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</si>
  <si>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</si>
  <si>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</si>
  <si>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</si>
  <si>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</si>
  <si>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</si>
  <si>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</si>
  <si>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</si>
  <si>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H</t>
  </si>
  <si>
    <t xml:space="preserve">Total </t>
  </si>
  <si>
    <t>2.3</t>
  </si>
  <si>
    <t>Benefícios Mensais e Diários</t>
  </si>
  <si>
    <t>Transporte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</si>
  <si>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</si>
  <si>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</si>
  <si>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</si>
  <si>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</si>
  <si>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</si>
  <si>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Incidência do FGTS sobre o Aviso Prévio Indenizado</t>
  </si>
  <si>
    <t>Aviso Prévio Trabalhado</t>
  </si>
  <si>
    <t>Incidência dos encargos do submódulo 2.2 sobre o Aviso Prévio Trabalhado</t>
  </si>
  <si>
    <t>Módulo 4 - Custo de Reposição do Profissional Ausente</t>
  </si>
  <si>
    <t>Submódulo 4.1 - Ausências Legais</t>
  </si>
  <si>
    <t>4.1</t>
  </si>
  <si>
    <t>Ausências Legais</t>
  </si>
  <si>
    <t>Quadro-Resumo do Módulo 4 - Custo de Reposição do Profissional Ausente</t>
  </si>
  <si>
    <t>Custo de Reposição do Profissional Ausente</t>
  </si>
  <si>
    <t>Módulo 5 - Insumos Diversos</t>
  </si>
  <si>
    <t>Uniformes</t>
  </si>
  <si>
    <t>Materiais</t>
  </si>
  <si>
    <t>Equipamentos</t>
  </si>
  <si>
    <t>Módulo 6 - Custos Indiretos, Tributos e Lucro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</si>
  <si>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</si>
  <si>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</si>
  <si>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</si>
  <si>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</si>
  <si>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PLANILHA DE CUSTOS E FORMAÇÃO DE PREÇOS</t>
  </si>
  <si>
    <t>MODELO PARA A CONSOLIDAÇÃO E APRESENTAÇÃO DE PROPOSTAS</t>
  </si>
  <si>
    <t>Com ajustes após publicação da Lei n° 13.467, de 2017.</t>
  </si>
  <si>
    <t>Outros (reserva técnica)</t>
  </si>
  <si>
    <t>Outros (aux saúde + exame médico)</t>
  </si>
  <si>
    <t>Custos Indiretos  (despesas administrativas)</t>
  </si>
  <si>
    <t>Quadro-Resumo  Somatório dos Módulos 1 + 2 + 3 + 4 + 5</t>
  </si>
  <si>
    <t>Hora extra habitual</t>
  </si>
  <si>
    <t>Sobreaviso</t>
  </si>
  <si>
    <t>Adicional de feriado trabalhado</t>
  </si>
  <si>
    <t>Total da remuneração</t>
  </si>
  <si>
    <t xml:space="preserve">I </t>
  </si>
  <si>
    <t>Intervalo intrajornada</t>
  </si>
  <si>
    <t>J</t>
  </si>
  <si>
    <t>RAT ajustado  - RAT(1%, 2% ou 3%) x FAP (0,5 A 2,00)</t>
  </si>
  <si>
    <t>I</t>
  </si>
  <si>
    <t>PIS (somente para entidades sem fins lucrativos)</t>
  </si>
  <si>
    <t>Proporcional de Férias, 1/3 e 13º salário sobre o custo de reposição (exceto licença maternidade)</t>
  </si>
  <si>
    <t>Incidência do submódulo 2.2 sobre o custo de reposição</t>
  </si>
  <si>
    <t>De 34,30 a 39,80%</t>
  </si>
  <si>
    <t>Submódulo 2.3 - Benefícios Mensais e Diários  (CONVENÇÃO)</t>
  </si>
  <si>
    <t>Multa do FGTS sobre o Aviso Prévio Trabalhado</t>
  </si>
  <si>
    <t>Ausência por doença (estimativa 3 dias)</t>
  </si>
  <si>
    <t>Licença-Paternidade (5 dias)</t>
  </si>
  <si>
    <t>Afastamento Maternidade (6 meses)</t>
  </si>
  <si>
    <t xml:space="preserve">Ausência por acidente de trabalho </t>
  </si>
  <si>
    <t>3. O índice de 1,94% do item 3D (aviso prévio trabalhado) do módulo 3 deve ser substituído pelo índice de 0,194%, correspondente ao acrescimo de 3 dias por ano ao total de 30 dias após o primeiro ano do contrato.</t>
  </si>
  <si>
    <t>1. Os itens com percentuais destacados podem sofrer alterações de acordo com o histórico da empresa, mediante comprovação do índice.</t>
  </si>
  <si>
    <t>OBSERVAÇÕES:</t>
  </si>
  <si>
    <t>PO = Somatório dos Módulos 1 + 2 + 3 + 4 + 5 + 6A + 6B</t>
  </si>
  <si>
    <t>Tributos = TO</t>
  </si>
  <si>
    <t>Fator (F) = 1-TO%</t>
  </si>
  <si>
    <t>Preço (P) = PO/F</t>
  </si>
  <si>
    <t>Custos Indiretos, Lucro e Tributos</t>
  </si>
  <si>
    <t>C.1. Tributos Federais (especificar) =%Tributo x P</t>
  </si>
  <si>
    <t>C.2. Tributos Estaduais (especificar) =%Tributo x P</t>
  </si>
  <si>
    <t>C.3. Tributos Municipais (especificar) =%Tributo x P</t>
  </si>
  <si>
    <t>PREÇO FINAL COM IMPOSTOS</t>
  </si>
  <si>
    <t>Subtotal</t>
  </si>
  <si>
    <t>QUADRO-RESUMO DO CUSTO POR EMPREGADO</t>
  </si>
  <si>
    <t>2. Os itens 3A (aviso prévio indenizado) e 3B (multa sobre aviso prévio indenizado) do módulo 3 devem ser zerados ao final do primeiro ano de contrato.</t>
  </si>
  <si>
    <t>Aviso Prévio Indenizado (estimativa de 5% de aviso prévio indenizado)</t>
  </si>
  <si>
    <t>Multa do FGTS sobre o Aviso Prévio Indenizado</t>
  </si>
  <si>
    <t>1.5. A estimativa constante do item "4B" é correspondente a 3 dias ao ano de ausência por doença;</t>
  </si>
  <si>
    <t xml:space="preserve">Ausências Legais </t>
  </si>
  <si>
    <t>1.8. A estimativa constante do item "4E" considera que 1% do quadro precisará se afastar por acidente de trabalho ao ano;</t>
  </si>
  <si>
    <t>1.6. A estimativa constante do item "4C" foi obtida considerando que cada funcionário precisará se afastar por 01 dia ao ano em decorrência de motivos legais não listados em itens específicos;</t>
  </si>
  <si>
    <t>1.1. A estimativa constante do item "3A" corresponde a de 5% de funcionários a cada ano de contrato recebendo Aviso Prévio Indenizado;</t>
  </si>
  <si>
    <t>1.2. A estimativa constante do item "3B" é a aplicação do percentual de 8% de FGTS sob o percentual aplicado no item "3A";</t>
  </si>
  <si>
    <t>1.3. A estimativa constante do item "3C" foi obtida considerando o percentual de 90% de demissão SEM justa causa sob o percentual de 40% correspondente à multa de FGTS;</t>
  </si>
  <si>
    <t>1.4. A estimativa constante do item "3E" é a aplicação do percentual total do grupo "2.2" (após a inclusão do RAT ajustado) sob o percentual do item "3D";</t>
  </si>
  <si>
    <t>1.7. A estimativa constante do item "4D" foi obtida considerando que a empresa possui 50% de trabalhadores do sexo masculino em seu quadro e, desses, 10% farão jus ao afastamento por licença paternidade ao ano;</t>
  </si>
  <si>
    <t>1.9. A estimativa constante do item "4F" foi obtida considerando que a empresa possui 50% de trabalhadoras do sexo feminino em seu quadro e dessas 10% farão jus ao afastamento por licença maternidade ao ano;</t>
  </si>
  <si>
    <t>4. A Procuradoria-Geral da Fazenda Nacional (PGFN) publicou, em 05/02/2021, o Despacho nº 42/2021, que consolida o entendimento de que não incidem contribuições previdenciárias sobre o aviso prévio indenizado.</t>
  </si>
  <si>
    <t xml:space="preserve">valor atual MOTORISTA </t>
  </si>
  <si>
    <t>Economia por empregado</t>
  </si>
  <si>
    <t>PLANILHA DE CUSTOS E FORMAÇÃO DE PREÇOS PARA SERVIÇOS DE MOTORISTA</t>
  </si>
  <si>
    <t>ANEXO I - A PARTIR DE 1º DE MAIO DE 2022</t>
  </si>
  <si>
    <t>CATEGORIAS</t>
  </si>
  <si>
    <t>% REAJUSTE</t>
  </si>
  <si>
    <t>MOTORISTA</t>
  </si>
  <si>
    <t>A+B</t>
  </si>
  <si>
    <t>SALÁRIO</t>
  </si>
  <si>
    <t>PERICULO/    INSALUB</t>
  </si>
  <si>
    <t>TOTAL</t>
  </si>
  <si>
    <t>RESERVA TÉCNICA</t>
  </si>
  <si>
    <t>BASE DE CÁLCULO</t>
  </si>
  <si>
    <t>-</t>
  </si>
  <si>
    <t>A+B+C</t>
  </si>
  <si>
    <t>ENCARGOS</t>
  </si>
  <si>
    <t xml:space="preserve">TOTAL </t>
  </si>
  <si>
    <t>SUBTOTAL</t>
  </si>
  <si>
    <t>GRUPO A</t>
  </si>
  <si>
    <t>GRUPO B</t>
  </si>
  <si>
    <t>GRUPO C</t>
  </si>
  <si>
    <t>GRUPO D</t>
  </si>
  <si>
    <t>%</t>
  </si>
  <si>
    <t>R$</t>
  </si>
  <si>
    <t>A+B+C+D+E</t>
  </si>
  <si>
    <t>INSUMOS</t>
  </si>
  <si>
    <t>SUB TOTAL</t>
  </si>
  <si>
    <t>UNIFORME</t>
  </si>
  <si>
    <t>VALE ALIM. - DESC PAT</t>
  </si>
  <si>
    <t>VALE TRANSP.</t>
  </si>
  <si>
    <t>AUX. FUNERAL</t>
  </si>
  <si>
    <t>SEGURO</t>
  </si>
  <si>
    <t xml:space="preserve">SAÚDE /EXAMES </t>
  </si>
  <si>
    <t>PLANO ODONTOLÓGICO</t>
  </si>
  <si>
    <t>A+B+C+D+E+F</t>
  </si>
  <si>
    <t>DEMAIS COMPONENTES</t>
  </si>
  <si>
    <t>DESP. ADM</t>
  </si>
  <si>
    <t xml:space="preserve">LUCRO </t>
  </si>
  <si>
    <t>A+B+C+D+E+F+G</t>
  </si>
  <si>
    <t>TRIBUTOS</t>
  </si>
  <si>
    <t>SUBTOTAIS</t>
  </si>
  <si>
    <t xml:space="preserve">VALOR CALCULADO COM IMPOSTO 8,65% </t>
  </si>
  <si>
    <t>VALOR DA PROPOSTA</t>
  </si>
  <si>
    <t>QUANT</t>
  </si>
  <si>
    <t>HOMEM</t>
  </si>
  <si>
    <t>PREÇO</t>
  </si>
  <si>
    <t>MÊS</t>
  </si>
  <si>
    <t>MENSAL</t>
  </si>
  <si>
    <t>ANUAL</t>
  </si>
  <si>
    <t>Diferença  apurada em relação à proposta apresentada Proc. 2578/2022</t>
  </si>
  <si>
    <t>CALCULADO</t>
  </si>
  <si>
    <t>PROPOSTA</t>
  </si>
  <si>
    <t>DIFERENÇA</t>
  </si>
  <si>
    <t xml:space="preserve">CALCULADO </t>
  </si>
  <si>
    <t>Diferença a pagar - Contrato 007/2017</t>
  </si>
  <si>
    <t>COMPETÊNCIA</t>
  </si>
  <si>
    <t>DOC</t>
  </si>
  <si>
    <t>PAGO</t>
  </si>
  <si>
    <t>DEVIDO</t>
  </si>
  <si>
    <t>600180/2022</t>
  </si>
  <si>
    <t>600227/2022</t>
  </si>
  <si>
    <t>Outros (PQM)</t>
  </si>
  <si>
    <t>Outros (BEM. SOCI FAM)</t>
  </si>
  <si>
    <t>Salário-Base  GARÇOM</t>
  </si>
  <si>
    <t>Benefício ( SEG. VIDA)</t>
  </si>
  <si>
    <t>CCT RN38</t>
  </si>
  <si>
    <t>Adicional de Férias</t>
  </si>
  <si>
    <r>
      <t>Adicional de Periculosidade</t>
    </r>
    <r>
      <rPr>
        <sz val="9"/>
        <color indexed="8"/>
        <rFont val="Times New Roman"/>
        <family val="1"/>
      </rPr>
      <t xml:space="preserve"> (quando houver, calcular 30% sobre salário base)</t>
    </r>
  </si>
  <si>
    <r>
      <t xml:space="preserve">Salário-Base  </t>
    </r>
    <r>
      <rPr>
        <sz val="9"/>
        <color indexed="8"/>
        <rFont val="Times New Roman"/>
        <family val="1"/>
      </rPr>
      <t>(conforme CCT)</t>
    </r>
  </si>
  <si>
    <r>
      <t xml:space="preserve">Adicional de Insalubridade </t>
    </r>
    <r>
      <rPr>
        <sz val="9"/>
        <color indexed="8"/>
        <rFont val="Times New Roman"/>
        <family val="1"/>
      </rPr>
      <t>(quando houver, calcular de 10 a 20% sobre salário base, de acordo com o grau de risco da atividade)</t>
    </r>
  </si>
  <si>
    <r>
      <t xml:space="preserve">Outros </t>
    </r>
    <r>
      <rPr>
        <sz val="9"/>
        <color indexed="8"/>
        <rFont val="Times New Roman"/>
        <family val="1"/>
      </rPr>
      <t>(especificar)</t>
    </r>
  </si>
  <si>
    <r>
      <t xml:space="preserve">Total Módulo 1 </t>
    </r>
    <r>
      <rPr>
        <b/>
        <sz val="9"/>
        <color indexed="8"/>
        <rFont val="Times New Roman"/>
        <family val="1"/>
      </rPr>
      <t>(Somatório dos itens A até E)</t>
    </r>
  </si>
  <si>
    <r>
      <t xml:space="preserve">Total Submódulo 2.1 </t>
    </r>
    <r>
      <rPr>
        <b/>
        <sz val="9"/>
        <color indexed="8"/>
        <rFont val="Times New Roman"/>
        <family val="1"/>
      </rPr>
      <t>(Somatório dos itens A e B)</t>
    </r>
  </si>
  <si>
    <r>
      <t xml:space="preserve">13º (décimo terceiro) Salário - </t>
    </r>
    <r>
      <rPr>
        <sz val="10"/>
        <color indexed="8"/>
        <rFont val="Times New Roman"/>
        <family val="1"/>
      </rPr>
      <t>Fórmula: (1/12*100)</t>
    </r>
  </si>
  <si>
    <r>
      <t xml:space="preserve">RAT ajustado - </t>
    </r>
    <r>
      <rPr>
        <sz val="9"/>
        <color indexed="8"/>
        <rFont val="Times New Roman"/>
        <family val="1"/>
      </rPr>
      <t>Fórmula: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RAT(1%, 2% ou 3%) x FAP (0,5 A 2,00)</t>
    </r>
  </si>
  <si>
    <r>
      <t>Transporte</t>
    </r>
    <r>
      <rPr>
        <sz val="9"/>
        <color indexed="8"/>
        <rFont val="Times New Roman"/>
        <family val="1"/>
      </rPr>
      <t xml:space="preserve"> (conforme CCT)</t>
    </r>
  </si>
  <si>
    <r>
      <t xml:space="preserve">Auxílio-Refeição/Alimentação </t>
    </r>
    <r>
      <rPr>
        <sz val="9"/>
        <color indexed="8"/>
        <rFont val="Times New Roman"/>
        <family val="1"/>
      </rPr>
      <t>(conforme CCT)</t>
    </r>
  </si>
  <si>
    <t xml:space="preserve">E </t>
  </si>
  <si>
    <r>
      <t>Total Submódulo 2.3</t>
    </r>
    <r>
      <rPr>
        <b/>
        <sz val="9"/>
        <color indexed="8"/>
        <rFont val="Times New Roman"/>
        <family val="1"/>
      </rPr>
      <t xml:space="preserve"> (Somatório dos itens A até E)</t>
    </r>
  </si>
  <si>
    <t xml:space="preserve">Submódulo 2.3 - Benefícios Mensais e Diários </t>
  </si>
  <si>
    <r>
      <t xml:space="preserve">Total Submódulo 2.1: </t>
    </r>
    <r>
      <rPr>
        <sz val="9"/>
        <color indexed="8"/>
        <rFont val="Times New Roman"/>
        <family val="1"/>
      </rPr>
      <t>13º (décimo terceiro) Salário e Adicional de Férias</t>
    </r>
  </si>
  <si>
    <t>Submódulo 2.1 - 13º (décimo terceiro) Salário Adicional de Férias</t>
  </si>
  <si>
    <r>
      <t xml:space="preserve">Total do Submódulo 2.2: </t>
    </r>
    <r>
      <rPr>
        <sz val="9"/>
        <color indexed="8"/>
        <rFont val="Times New Roman"/>
        <family val="1"/>
      </rPr>
      <t>GPS, FGTS e outras contribuições</t>
    </r>
  </si>
  <si>
    <r>
      <t xml:space="preserve">Total do Submódulo 2.3: </t>
    </r>
    <r>
      <rPr>
        <sz val="9"/>
        <color indexed="8"/>
        <rFont val="Times New Roman"/>
        <family val="1"/>
      </rPr>
      <t>Benefícios Mensais e Diários</t>
    </r>
  </si>
  <si>
    <r>
      <t>Total Módulo 2</t>
    </r>
    <r>
      <rPr>
        <b/>
        <sz val="9"/>
        <color indexed="8"/>
        <rFont val="Times New Roman"/>
        <family val="1"/>
      </rPr>
      <t xml:space="preserve"> (Somatório dos itens A até C)</t>
    </r>
  </si>
  <si>
    <r>
      <t>Total Módulo 3</t>
    </r>
    <r>
      <rPr>
        <b/>
        <sz val="9"/>
        <color indexed="8"/>
        <rFont val="Times New Roman"/>
        <family val="1"/>
      </rPr>
      <t xml:space="preserve"> (Somatório dos itens A até F)</t>
    </r>
  </si>
  <si>
    <r>
      <t xml:space="preserve">GPS, FGTS e outras contribuições
</t>
    </r>
    <r>
      <rPr>
        <b/>
        <sz val="10"/>
        <color indexed="8"/>
        <rFont val="Times New Roman"/>
        <family val="1"/>
      </rPr>
      <t>(Base de cálculo dos itens do submódulo 2.2 deve ser o somatório do módulo 1 + submódulo 2.1)</t>
    </r>
  </si>
  <si>
    <r>
      <t xml:space="preserve">Aviso Prévio Indenizado </t>
    </r>
    <r>
      <rPr>
        <sz val="9"/>
        <color indexed="8"/>
        <rFont val="Times New Roman"/>
        <family val="1"/>
      </rPr>
      <t>(Demonstrar cálculo)</t>
    </r>
  </si>
  <si>
    <r>
      <t xml:space="preserve">Incidência do FGTS sobre o Aviso Prévio Indenizado </t>
    </r>
    <r>
      <rPr>
        <sz val="9"/>
        <color indexed="8"/>
        <rFont val="Times New Roman"/>
        <family val="1"/>
      </rPr>
      <t>(Demonstrar cálculo)</t>
    </r>
  </si>
  <si>
    <r>
      <t>Multa do FGTS sobre o Aviso Prévio Indenizado</t>
    </r>
    <r>
      <rPr>
        <sz val="9"/>
        <color indexed="8"/>
        <rFont val="Times New Roman"/>
        <family val="1"/>
      </rPr>
      <t xml:space="preserve"> (Demonstrar cálculo)</t>
    </r>
  </si>
  <si>
    <r>
      <t xml:space="preserve">Incidência dos encargos do submódulo 2.2 sobre o Aviso Prévio Trabalhado </t>
    </r>
    <r>
      <rPr>
        <sz val="9"/>
        <color indexed="8"/>
        <rFont val="Times New Roman"/>
        <family val="1"/>
      </rPr>
      <t>(Demonstrar cálculo)</t>
    </r>
  </si>
  <si>
    <r>
      <t>Proporcional de Férias, 1/3 e 13º salário sobre o custo de reposição -</t>
    </r>
    <r>
      <rPr>
        <sz val="9"/>
        <color indexed="8"/>
        <rFont val="Times New Roman"/>
        <family val="1"/>
      </rPr>
      <t xml:space="preserve"> Fórmula: = (subtotal 1 - item F)*(1/12+1/12+(1/12*1/3))</t>
    </r>
  </si>
  <si>
    <r>
      <t>Subtotal 1</t>
    </r>
    <r>
      <rPr>
        <b/>
        <sz val="9"/>
        <color indexed="8"/>
        <rFont val="Times New Roman"/>
        <family val="1"/>
      </rPr>
      <t xml:space="preserve"> (Somatório dos itens A até G)</t>
    </r>
  </si>
  <si>
    <r>
      <t xml:space="preserve">Subtotal 2 </t>
    </r>
    <r>
      <rPr>
        <b/>
        <sz val="9"/>
        <color indexed="8"/>
        <rFont val="Times New Roman"/>
        <family val="1"/>
      </rPr>
      <t>(Somátorio subtotal 1 + item H)</t>
    </r>
  </si>
  <si>
    <r>
      <t xml:space="preserve">Incidência do submódulo 2.2 sobre o custo de reposição - </t>
    </r>
    <r>
      <rPr>
        <sz val="9"/>
        <color indexed="8"/>
        <rFont val="Times New Roman"/>
        <family val="1"/>
      </rPr>
      <t>Fórmula: = subtotal 2 * total do submódulo 2.2</t>
    </r>
  </si>
  <si>
    <r>
      <t>Total Módulo 4</t>
    </r>
    <r>
      <rPr>
        <b/>
        <sz val="9"/>
        <color indexed="8"/>
        <rFont val="Times New Roman"/>
        <family val="1"/>
      </rPr>
      <t xml:space="preserve"> (Somatório do subtotal 2 + item I)</t>
    </r>
  </si>
  <si>
    <r>
      <t xml:space="preserve">Equipamentos </t>
    </r>
    <r>
      <rPr>
        <sz val="9"/>
        <color indexed="8"/>
        <rFont val="Times New Roman"/>
        <family val="1"/>
      </rPr>
      <t>(especificar)</t>
    </r>
  </si>
  <si>
    <r>
      <t xml:space="preserve">Materiais </t>
    </r>
    <r>
      <rPr>
        <sz val="9"/>
        <color indexed="8"/>
        <rFont val="Times New Roman"/>
        <family val="1"/>
      </rPr>
      <t>(especificar)</t>
    </r>
  </si>
  <si>
    <t>Somatório dos Módulos 1 + 2 + 3 + 4 + 5</t>
  </si>
  <si>
    <t xml:space="preserve">Custos Indiretos </t>
  </si>
  <si>
    <r>
      <t>Total Módulo 6</t>
    </r>
    <r>
      <rPr>
        <b/>
        <sz val="9"/>
        <color indexed="8"/>
        <rFont val="Times New Roman"/>
        <family val="1"/>
      </rPr>
      <t xml:space="preserve"> (Somatório do subtotal 1 + item C)</t>
    </r>
  </si>
  <si>
    <r>
      <t xml:space="preserve">Subtotal 1 </t>
    </r>
    <r>
      <rPr>
        <b/>
        <sz val="9"/>
        <color indexed="8"/>
        <rFont val="Times New Roman"/>
        <family val="1"/>
      </rPr>
      <t>(Somatório itens A + B)</t>
    </r>
  </si>
  <si>
    <r>
      <t xml:space="preserve">Valor Total por Empregado </t>
    </r>
    <r>
      <rPr>
        <b/>
        <sz val="9"/>
        <color indexed="8"/>
        <rFont val="Times New Roman"/>
        <family val="1"/>
      </rPr>
      <t>(Somatório itens A até F)</t>
    </r>
  </si>
  <si>
    <r>
      <t xml:space="preserve">Adicional de Férias - </t>
    </r>
    <r>
      <rPr>
        <sz val="9"/>
        <color indexed="8"/>
        <rFont val="Times New Roman"/>
        <family val="1"/>
      </rPr>
      <t>Fórmula: (1/3)/12*100</t>
    </r>
  </si>
  <si>
    <r>
      <t>Total Submódulo 2.2</t>
    </r>
    <r>
      <rPr>
        <b/>
        <sz val="9"/>
        <color indexed="8"/>
        <rFont val="Times New Roman"/>
        <family val="1"/>
      </rPr>
      <t xml:space="preserve"> (Somatório dos itens A até H)</t>
    </r>
  </si>
  <si>
    <r>
      <t xml:space="preserve">Assistência Médica e Familiar </t>
    </r>
    <r>
      <rPr>
        <sz val="9"/>
        <color indexed="8"/>
        <rFont val="Times New Roman"/>
        <family val="1"/>
      </rPr>
      <t>(conforme CCT)</t>
    </r>
  </si>
  <si>
    <r>
      <t>Seguro de Vida</t>
    </r>
    <r>
      <rPr>
        <sz val="9"/>
        <color indexed="8"/>
        <rFont val="Times New Roman"/>
        <family val="1"/>
      </rPr>
      <t xml:space="preserve"> (conforme CCT)</t>
    </r>
  </si>
  <si>
    <r>
      <t xml:space="preserve">Substituto na cobertura de Férias - </t>
    </r>
    <r>
      <rPr>
        <sz val="9"/>
        <color indexed="8"/>
        <rFont val="Times New Roman"/>
        <family val="1"/>
      </rPr>
      <t>Fórmula: (1/12*100)</t>
    </r>
  </si>
  <si>
    <r>
      <t xml:space="preserve">Substituto na cobertura de Ausências Legais </t>
    </r>
    <r>
      <rPr>
        <sz val="9"/>
        <color indexed="8"/>
        <rFont val="Times New Roman"/>
        <family val="1"/>
      </rPr>
      <t>(Demonstrar cálculo)</t>
    </r>
  </si>
  <si>
    <r>
      <t xml:space="preserve">Substituto na cobertura de Licença-Paternidade </t>
    </r>
    <r>
      <rPr>
        <sz val="9"/>
        <color indexed="8"/>
        <rFont val="Times New Roman"/>
        <family val="1"/>
      </rPr>
      <t>(Demonstrar cálculo)</t>
    </r>
  </si>
  <si>
    <r>
      <t xml:space="preserve">Substituto na cobertura de Ausência por acidente de trabalho </t>
    </r>
    <r>
      <rPr>
        <sz val="9"/>
        <color indexed="8"/>
        <rFont val="Times New Roman"/>
        <family val="1"/>
      </rPr>
      <t>(Demonstrar cálculo)</t>
    </r>
  </si>
  <si>
    <r>
      <t xml:space="preserve"> Substituto na cobertura de Afastamento Maternidade </t>
    </r>
    <r>
      <rPr>
        <sz val="9"/>
        <color indexed="8"/>
        <rFont val="Times New Roman"/>
        <family val="1"/>
      </rPr>
      <t>(Demonstrar cálculo)</t>
    </r>
  </si>
  <si>
    <r>
      <t xml:space="preserve">Substituto na cobertura de Afastamento por Doenças </t>
    </r>
    <r>
      <rPr>
        <sz val="9"/>
        <rFont val="Times New Roman"/>
        <family val="1"/>
      </rPr>
      <t>(Demonstrar cálculo)</t>
    </r>
  </si>
  <si>
    <r>
      <t xml:space="preserve">Insumos Diversos </t>
    </r>
    <r>
      <rPr>
        <b/>
        <sz val="9"/>
        <color indexed="8"/>
        <rFont val="Times New Roman"/>
        <family val="1"/>
      </rPr>
      <t>(Valores mensais por empregado)</t>
    </r>
  </si>
  <si>
    <r>
      <t xml:space="preserve">Tributos = TO </t>
    </r>
    <r>
      <rPr>
        <sz val="9"/>
        <color indexed="8"/>
        <rFont val="Times New Roman"/>
        <family val="1"/>
      </rPr>
      <t>(Preencher conforme regime de tributação da empresa: Lucro Presumido ou Lucro Real. O preenchimento desse campo com alíquotas do Simples Nacional só será admitido nas atividades permitidas elencadas no art. 18, § 5º-C da LC 123/2006)</t>
    </r>
  </si>
  <si>
    <t>2. Os itens 3A (aviso prévio indenizado) e 3B (multa sobre aviso prévio indenizado) do módulo 3 serão zerados ao final do primeiro ano de contrato.</t>
  </si>
  <si>
    <t>3. Após o primeiro ano do contrato, o índice de 1,94% do item 3D (aviso prévio trabalhado) do módulo 3 deve ser substituído pelo índice de 0,194%, correspondente ao acrescimo de 3 dias por ano ao total de 30 dias.</t>
  </si>
  <si>
    <t>PREÇO FINAL DO CUSTO POR EMPREGADO</t>
  </si>
  <si>
    <t>Total do Módulo 1 - Composição da Remuneração</t>
  </si>
  <si>
    <t>Total do Módulo 2 - Encargos e Benefícios Anuais, Mensais e Diários</t>
  </si>
  <si>
    <t>Total do Módulo 3 - Provisão para Rescisão</t>
  </si>
  <si>
    <t>Total do Módulo 4 - Custo de Reposição do Profissional Ausente</t>
  </si>
  <si>
    <t>Total do Módulo 5 - Insumos Diversos</t>
  </si>
  <si>
    <t>Total do Módulo 6 – Custos Indiretos, Tributos e Lucro</t>
  </si>
  <si>
    <r>
      <t xml:space="preserve">Total Módulo 5 </t>
    </r>
    <r>
      <rPr>
        <b/>
        <sz val="9"/>
        <color indexed="8"/>
        <rFont val="Times New Roman"/>
        <family val="1"/>
      </rPr>
      <t>(Somatório dos itens A até D)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</si>
</sst>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8"/>
      <color indexed="9"/>
      <name val="Times New Roman"/>
      <family val="1"/>
    </font>
    <font>
      <sz val="12"/>
      <color indexed="63"/>
      <name val="Arial"/>
      <family val="2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202124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sz val="18"/>
      <color theme="0"/>
      <name val="Times New Roman"/>
      <family val="1"/>
    </font>
    <font>
      <sz val="14"/>
      <color theme="0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4" fontId="5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6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10" fontId="59" fillId="0" borderId="12" xfId="0" applyNumberFormat="1" applyFont="1" applyBorder="1" applyAlignment="1">
      <alignment horizontal="center" vertical="center" wrapText="1"/>
    </xf>
    <xf numFmtId="0" fontId="59" fillId="0" borderId="12" xfId="0" applyFont="1" applyBorder="1" applyAlignment="1">
      <alignment horizontal="justify" vertical="center" wrapText="1"/>
    </xf>
    <xf numFmtId="0" fontId="60" fillId="0" borderId="13" xfId="0" applyFont="1" applyBorder="1" applyAlignment="1">
      <alignment vertical="center" wrapText="1"/>
    </xf>
    <xf numFmtId="0" fontId="59" fillId="0" borderId="0" xfId="0" applyFont="1" applyAlignment="1">
      <alignment/>
    </xf>
    <xf numFmtId="0" fontId="60" fillId="0" borderId="11" xfId="0" applyFont="1" applyBorder="1" applyAlignment="1">
      <alignment horizontal="center" vertical="center" wrapText="1"/>
    </xf>
    <xf numFmtId="43" fontId="59" fillId="0" borderId="12" xfId="52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43" fontId="59" fillId="0" borderId="12" xfId="0" applyNumberFormat="1" applyFont="1" applyBorder="1" applyAlignment="1">
      <alignment horizontal="center" vertical="center" wrapText="1"/>
    </xf>
    <xf numFmtId="2" fontId="59" fillId="0" borderId="12" xfId="0" applyNumberFormat="1" applyFont="1" applyBorder="1" applyAlignment="1">
      <alignment horizontal="right" vertical="center" wrapText="1"/>
    </xf>
    <xf numFmtId="43" fontId="59" fillId="0" borderId="12" xfId="0" applyNumberFormat="1" applyFont="1" applyBorder="1" applyAlignment="1">
      <alignment vertical="center" wrapText="1"/>
    </xf>
    <xf numFmtId="43" fontId="59" fillId="0" borderId="0" xfId="0" applyNumberFormat="1" applyFont="1" applyAlignment="1">
      <alignment/>
    </xf>
    <xf numFmtId="0" fontId="60" fillId="0" borderId="0" xfId="0" applyFont="1" applyBorder="1" applyAlignment="1">
      <alignment horizontal="center" vertical="center" wrapText="1"/>
    </xf>
    <xf numFmtId="43" fontId="60" fillId="0" borderId="0" xfId="0" applyNumberFormat="1" applyFont="1" applyBorder="1" applyAlignment="1">
      <alignment horizontal="center" vertical="center" wrapText="1"/>
    </xf>
    <xf numFmtId="43" fontId="60" fillId="0" borderId="12" xfId="0" applyNumberFormat="1" applyFont="1" applyBorder="1" applyAlignment="1">
      <alignment vertical="center" wrapText="1"/>
    </xf>
    <xf numFmtId="10" fontId="59" fillId="0" borderId="0" xfId="0" applyNumberFormat="1" applyFont="1" applyAlignment="1">
      <alignment/>
    </xf>
    <xf numFmtId="43" fontId="60" fillId="0" borderId="12" xfId="0" applyNumberFormat="1" applyFont="1" applyFill="1" applyBorder="1" applyAlignment="1">
      <alignment horizontal="center" vertical="center" wrapText="1"/>
    </xf>
    <xf numFmtId="43" fontId="60" fillId="33" borderId="0" xfId="0" applyNumberFormat="1" applyFont="1" applyFill="1" applyAlignment="1">
      <alignment/>
    </xf>
    <xf numFmtId="0" fontId="59" fillId="0" borderId="0" xfId="0" applyFont="1" applyAlignment="1">
      <alignment horizontal="right"/>
    </xf>
    <xf numFmtId="9" fontId="59" fillId="0" borderId="12" xfId="50" applyFont="1" applyBorder="1" applyAlignment="1">
      <alignment horizontal="center" vertical="center" wrapText="1"/>
    </xf>
    <xf numFmtId="10" fontId="59" fillId="0" borderId="12" xfId="50" applyNumberFormat="1" applyFont="1" applyBorder="1" applyAlignment="1">
      <alignment horizontal="center" vertical="center" wrapText="1"/>
    </xf>
    <xf numFmtId="2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59" fillId="0" borderId="12" xfId="0" applyFont="1" applyFill="1" applyBorder="1" applyAlignment="1">
      <alignment horizontal="justify" vertical="center" wrapText="1"/>
    </xf>
    <xf numFmtId="165" fontId="59" fillId="0" borderId="0" xfId="0" applyNumberFormat="1" applyFont="1" applyAlignment="1">
      <alignment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 wrapText="1"/>
    </xf>
    <xf numFmtId="43" fontId="59" fillId="0" borderId="12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right" vertical="center" wrapText="1"/>
    </xf>
    <xf numFmtId="2" fontId="60" fillId="0" borderId="12" xfId="0" applyNumberFormat="1" applyFont="1" applyFill="1" applyBorder="1" applyAlignment="1">
      <alignment horizontal="right" vertical="center" wrapText="1"/>
    </xf>
    <xf numFmtId="43" fontId="60" fillId="0" borderId="12" xfId="52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60" fillId="0" borderId="12" xfId="50" applyNumberFormat="1" applyFont="1" applyBorder="1" applyAlignment="1">
      <alignment horizontal="right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19" xfId="0" applyFont="1" applyBorder="1" applyAlignment="1">
      <alignment horizontal="center" vertical="center" wrapText="1"/>
    </xf>
    <xf numFmtId="43" fontId="60" fillId="0" borderId="12" xfId="52" applyFont="1" applyFill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center" wrapText="1"/>
    </xf>
    <xf numFmtId="10" fontId="59" fillId="0" borderId="15" xfId="0" applyNumberFormat="1" applyFont="1" applyBorder="1" applyAlignment="1">
      <alignment horizontal="center" vertical="center" wrapText="1"/>
    </xf>
    <xf numFmtId="43" fontId="60" fillId="0" borderId="13" xfId="52" applyFont="1" applyFill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center" vertical="center" wrapText="1"/>
    </xf>
    <xf numFmtId="43" fontId="60" fillId="33" borderId="12" xfId="0" applyNumberFormat="1" applyFont="1" applyFill="1" applyBorder="1" applyAlignment="1">
      <alignment horizontal="center" vertical="center" wrapText="1"/>
    </xf>
    <xf numFmtId="43" fontId="24" fillId="33" borderId="12" xfId="52" applyFont="1" applyFill="1" applyBorder="1" applyAlignment="1">
      <alignment horizontal="center" vertical="center" wrapText="1"/>
    </xf>
    <xf numFmtId="9" fontId="60" fillId="33" borderId="12" xfId="0" applyNumberFormat="1" applyFont="1" applyFill="1" applyBorder="1" applyAlignment="1">
      <alignment horizontal="center" vertical="center" wrapText="1"/>
    </xf>
    <xf numFmtId="10" fontId="59" fillId="3" borderId="12" xfId="0" applyNumberFormat="1" applyFont="1" applyFill="1" applyBorder="1" applyAlignment="1">
      <alignment horizontal="center" vertical="center" wrapText="1"/>
    </xf>
    <xf numFmtId="43" fontId="60" fillId="0" borderId="13" xfId="0" applyNumberFormat="1" applyFont="1" applyBorder="1" applyAlignment="1">
      <alignment horizontal="center" vertical="center" wrapText="1"/>
    </xf>
    <xf numFmtId="10" fontId="60" fillId="3" borderId="12" xfId="0" applyNumberFormat="1" applyFont="1" applyFill="1" applyBorder="1" applyAlignment="1">
      <alignment horizontal="center" vertical="center" wrapText="1"/>
    </xf>
    <xf numFmtId="0" fontId="59" fillId="3" borderId="0" xfId="0" applyFont="1" applyFill="1" applyAlignment="1">
      <alignment horizontal="left" wrapText="1"/>
    </xf>
    <xf numFmtId="0" fontId="59" fillId="0" borderId="0" xfId="0" applyFont="1" applyFill="1" applyAlignment="1">
      <alignment horizontal="left" wrapText="1"/>
    </xf>
    <xf numFmtId="10" fontId="59" fillId="0" borderId="12" xfId="0" applyNumberFormat="1" applyFont="1" applyFill="1" applyBorder="1" applyAlignment="1">
      <alignment horizontal="center" vertical="center" wrapText="1"/>
    </xf>
    <xf numFmtId="165" fontId="59" fillId="0" borderId="10" xfId="0" applyNumberFormat="1" applyFont="1" applyFill="1" applyBorder="1" applyAlignment="1">
      <alignment horizontal="center"/>
    </xf>
    <xf numFmtId="165" fontId="60" fillId="0" borderId="10" xfId="0" applyNumberFormat="1" applyFont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43" fontId="60" fillId="0" borderId="0" xfId="0" applyNumberFormat="1" applyFont="1" applyFill="1" applyAlignment="1">
      <alignment/>
    </xf>
    <xf numFmtId="165" fontId="59" fillId="3" borderId="10" xfId="0" applyNumberFormat="1" applyFont="1" applyFill="1" applyBorder="1" applyAlignment="1">
      <alignment horizontal="center" vertical="center"/>
    </xf>
    <xf numFmtId="165" fontId="59" fillId="3" borderId="10" xfId="0" applyNumberFormat="1" applyFont="1" applyFill="1" applyBorder="1" applyAlignment="1">
      <alignment horizontal="center"/>
    </xf>
    <xf numFmtId="165" fontId="59" fillId="0" borderId="10" xfId="0" applyNumberFormat="1" applyFont="1" applyBorder="1" applyAlignment="1">
      <alignment horizontal="center" vertical="center"/>
    </xf>
    <xf numFmtId="165" fontId="60" fillId="0" borderId="11" xfId="0" applyNumberFormat="1" applyFont="1" applyFill="1" applyBorder="1" applyAlignment="1">
      <alignment horizontal="center"/>
    </xf>
    <xf numFmtId="165" fontId="59" fillId="0" borderId="12" xfId="0" applyNumberFormat="1" applyFont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4" fillId="3" borderId="12" xfId="0" applyNumberFormat="1" applyFont="1" applyFill="1" applyBorder="1" applyAlignment="1">
      <alignment horizontal="center" vertical="center" wrapText="1"/>
    </xf>
    <xf numFmtId="165" fontId="60" fillId="0" borderId="12" xfId="0" applyNumberFormat="1" applyFont="1" applyFill="1" applyBorder="1" applyAlignment="1">
      <alignment horizontal="center" vertical="center" wrapText="1"/>
    </xf>
    <xf numFmtId="165" fontId="59" fillId="3" borderId="12" xfId="5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10" fontId="4" fillId="3" borderId="12" xfId="0" applyNumberFormat="1" applyFont="1" applyFill="1" applyBorder="1" applyAlignment="1">
      <alignment horizontal="center" vertical="center" wrapText="1"/>
    </xf>
    <xf numFmtId="43" fontId="61" fillId="0" borderId="21" xfId="52" applyFont="1" applyBorder="1" applyAlignment="1">
      <alignment horizontal="center" vertical="center"/>
    </xf>
    <xf numFmtId="43" fontId="61" fillId="0" borderId="22" xfId="52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3" fontId="61" fillId="0" borderId="23" xfId="52" applyFont="1" applyBorder="1" applyAlignment="1">
      <alignment horizontal="center" vertical="center"/>
    </xf>
    <xf numFmtId="44" fontId="60" fillId="33" borderId="12" xfId="45" applyFont="1" applyFill="1" applyBorder="1" applyAlignment="1">
      <alignment vertical="center" wrapText="1"/>
    </xf>
    <xf numFmtId="44" fontId="61" fillId="34" borderId="10" xfId="45" applyFont="1" applyFill="1" applyBorder="1" applyAlignment="1">
      <alignment horizontal="center" vertical="center"/>
    </xf>
    <xf numFmtId="44" fontId="24" fillId="33" borderId="10" xfId="45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24" fillId="0" borderId="24" xfId="52" applyFont="1" applyBorder="1" applyAlignment="1">
      <alignment horizontal="center" vertical="center"/>
    </xf>
    <xf numFmtId="43" fontId="24" fillId="0" borderId="25" xfId="52" applyFont="1" applyBorder="1" applyAlignment="1">
      <alignment horizontal="center" vertical="center"/>
    </xf>
    <xf numFmtId="43" fontId="24" fillId="0" borderId="11" xfId="52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35" borderId="26" xfId="0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36" borderId="26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4" fillId="35" borderId="26" xfId="0" applyFont="1" applyFill="1" applyBorder="1" applyAlignment="1">
      <alignment vertical="center"/>
    </xf>
    <xf numFmtId="43" fontId="63" fillId="0" borderId="26" xfId="52" applyFont="1" applyBorder="1" applyAlignment="1">
      <alignment vertical="center"/>
    </xf>
    <xf numFmtId="43" fontId="63" fillId="36" borderId="26" xfId="52" applyFont="1" applyFill="1" applyBorder="1" applyAlignment="1">
      <alignment vertical="center"/>
    </xf>
    <xf numFmtId="10" fontId="64" fillId="0" borderId="26" xfId="50" applyNumberFormat="1" applyFont="1" applyBorder="1" applyAlignment="1">
      <alignment horizontal="center" vertical="center"/>
    </xf>
    <xf numFmtId="43" fontId="63" fillId="0" borderId="0" xfId="0" applyNumberFormat="1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44" fontId="64" fillId="35" borderId="26" xfId="45" applyFont="1" applyFill="1" applyBorder="1" applyAlignment="1">
      <alignment vertical="center"/>
    </xf>
    <xf numFmtId="10" fontId="64" fillId="0" borderId="26" xfId="50" applyNumberFormat="1" applyFont="1" applyFill="1" applyBorder="1" applyAlignment="1">
      <alignment horizontal="center" vertical="center"/>
    </xf>
    <xf numFmtId="44" fontId="63" fillId="0" borderId="26" xfId="45" applyFont="1" applyBorder="1" applyAlignment="1">
      <alignment vertical="center"/>
    </xf>
    <xf numFmtId="44" fontId="32" fillId="35" borderId="26" xfId="45" applyFont="1" applyFill="1" applyBorder="1" applyAlignment="1">
      <alignment vertical="center"/>
    </xf>
    <xf numFmtId="43" fontId="63" fillId="0" borderId="0" xfId="52" applyFont="1" applyAlignment="1">
      <alignment vertical="center"/>
    </xf>
    <xf numFmtId="10" fontId="64" fillId="0" borderId="0" xfId="50" applyNumberFormat="1" applyFont="1" applyFill="1" applyAlignment="1">
      <alignment horizontal="center" vertical="center"/>
    </xf>
    <xf numFmtId="10" fontId="63" fillId="0" borderId="0" xfId="50" applyNumberFormat="1" applyFont="1" applyAlignment="1">
      <alignment horizontal="center" vertical="center"/>
    </xf>
    <xf numFmtId="10" fontId="64" fillId="0" borderId="0" xfId="0" applyNumberFormat="1" applyFont="1" applyFill="1" applyAlignment="1">
      <alignment vertical="center"/>
    </xf>
    <xf numFmtId="44" fontId="63" fillId="0" borderId="0" xfId="45" applyFont="1" applyAlignment="1">
      <alignment vertical="center"/>
    </xf>
    <xf numFmtId="44" fontId="64" fillId="0" borderId="0" xfId="0" applyNumberFormat="1" applyFont="1" applyFill="1" applyAlignment="1">
      <alignment vertical="center"/>
    </xf>
    <xf numFmtId="10" fontId="64" fillId="35" borderId="26" xfId="50" applyNumberFormat="1" applyFont="1" applyFill="1" applyBorder="1" applyAlignment="1">
      <alignment horizontal="center" vertical="center"/>
    </xf>
    <xf numFmtId="10" fontId="33" fillId="0" borderId="26" xfId="50" applyNumberFormat="1" applyFont="1" applyBorder="1" applyAlignment="1">
      <alignment horizontal="center" vertical="center"/>
    </xf>
    <xf numFmtId="10" fontId="63" fillId="35" borderId="26" xfId="50" applyNumberFormat="1" applyFont="1" applyFill="1" applyBorder="1" applyAlignment="1">
      <alignment horizontal="center" vertical="center"/>
    </xf>
    <xf numFmtId="44" fontId="63" fillId="35" borderId="26" xfId="45" applyFont="1" applyFill="1" applyBorder="1" applyAlignment="1">
      <alignment horizontal="center" vertical="center"/>
    </xf>
    <xf numFmtId="44" fontId="64" fillId="35" borderId="26" xfId="45" applyFont="1" applyFill="1" applyBorder="1" applyAlignment="1">
      <alignment horizontal="center" vertical="center"/>
    </xf>
    <xf numFmtId="9" fontId="66" fillId="0" borderId="0" xfId="50" applyFont="1" applyBorder="1" applyAlignment="1">
      <alignment horizontal="center" vertical="center"/>
    </xf>
    <xf numFmtId="10" fontId="66" fillId="0" borderId="0" xfId="50" applyNumberFormat="1" applyFont="1" applyBorder="1" applyAlignment="1">
      <alignment horizontal="center" vertical="center"/>
    </xf>
    <xf numFmtId="44" fontId="66" fillId="0" borderId="0" xfId="45" applyFont="1" applyBorder="1" applyAlignment="1">
      <alignment horizontal="center" vertical="center"/>
    </xf>
    <xf numFmtId="44" fontId="67" fillId="0" borderId="0" xfId="45" applyFont="1" applyFill="1" applyBorder="1" applyAlignment="1">
      <alignment horizontal="center" vertical="center"/>
    </xf>
    <xf numFmtId="10" fontId="64" fillId="0" borderId="0" xfId="0" applyNumberFormat="1" applyFont="1" applyFill="1" applyAlignment="1">
      <alignment horizontal="center" vertical="center"/>
    </xf>
    <xf numFmtId="44" fontId="63" fillId="0" borderId="0" xfId="45" applyFont="1" applyAlignment="1">
      <alignment horizontal="center" vertical="center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36" borderId="26" xfId="0" applyFont="1" applyFill="1" applyBorder="1" applyAlignment="1">
      <alignment horizontal="center" vertical="center" wrapText="1"/>
    </xf>
    <xf numFmtId="44" fontId="64" fillId="0" borderId="26" xfId="45" applyFont="1" applyFill="1" applyBorder="1" applyAlignment="1">
      <alignment horizontal="center" vertical="center"/>
    </xf>
    <xf numFmtId="44" fontId="33" fillId="0" borderId="26" xfId="45" applyFont="1" applyBorder="1" applyAlignment="1">
      <alignment vertical="center"/>
    </xf>
    <xf numFmtId="44" fontId="63" fillId="0" borderId="26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44" fontId="63" fillId="0" borderId="0" xfId="45" applyFont="1" applyBorder="1" applyAlignment="1">
      <alignment vertical="center"/>
    </xf>
    <xf numFmtId="44" fontId="64" fillId="0" borderId="0" xfId="0" applyNumberFormat="1" applyFont="1" applyFill="1" applyBorder="1" applyAlignment="1">
      <alignment vertical="center"/>
    </xf>
    <xf numFmtId="10" fontId="64" fillId="0" borderId="0" xfId="50" applyNumberFormat="1" applyFont="1" applyFill="1" applyBorder="1" applyAlignment="1">
      <alignment horizontal="center" vertical="center"/>
    </xf>
    <xf numFmtId="44" fontId="63" fillId="0" borderId="0" xfId="50" applyNumberFormat="1" applyFont="1" applyAlignment="1">
      <alignment horizontal="center" vertical="center"/>
    </xf>
    <xf numFmtId="10" fontId="63" fillId="0" borderId="26" xfId="50" applyNumberFormat="1" applyFont="1" applyBorder="1" applyAlignment="1">
      <alignment horizontal="center" vertical="center"/>
    </xf>
    <xf numFmtId="10" fontId="63" fillId="0" borderId="26" xfId="0" applyNumberFormat="1" applyFont="1" applyBorder="1" applyAlignment="1">
      <alignment horizontal="center" vertical="center"/>
    </xf>
    <xf numFmtId="10" fontId="63" fillId="35" borderId="26" xfId="0" applyNumberFormat="1" applyFont="1" applyFill="1" applyBorder="1" applyAlignment="1">
      <alignment horizontal="center" vertical="center"/>
    </xf>
    <xf numFmtId="44" fontId="63" fillId="35" borderId="26" xfId="0" applyNumberFormat="1" applyFont="1" applyFill="1" applyBorder="1" applyAlignment="1">
      <alignment vertical="center"/>
    </xf>
    <xf numFmtId="10" fontId="64" fillId="0" borderId="0" xfId="50" applyNumberFormat="1" applyFont="1" applyAlignment="1">
      <alignment horizontal="center" vertical="center"/>
    </xf>
    <xf numFmtId="44" fontId="63" fillId="0" borderId="0" xfId="0" applyNumberFormat="1" applyFont="1" applyAlignment="1">
      <alignment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4" fillId="0" borderId="0" xfId="0" applyFont="1" applyFill="1" applyBorder="1" applyAlignment="1">
      <alignment vertical="center"/>
    </xf>
    <xf numFmtId="44" fontId="63" fillId="0" borderId="0" xfId="45" applyFont="1" applyBorder="1" applyAlignment="1">
      <alignment horizontal="center" vertical="center"/>
    </xf>
    <xf numFmtId="44" fontId="64" fillId="0" borderId="0" xfId="45" applyFont="1" applyFill="1" applyBorder="1" applyAlignment="1">
      <alignment horizontal="center" vertical="center"/>
    </xf>
    <xf numFmtId="43" fontId="63" fillId="0" borderId="0" xfId="52" applyFont="1" applyFill="1" applyBorder="1" applyAlignment="1">
      <alignment horizontal="center" vertical="center"/>
    </xf>
    <xf numFmtId="44" fontId="63" fillId="0" borderId="0" xfId="0" applyNumberFormat="1" applyFont="1" applyFill="1" applyBorder="1" applyAlignment="1">
      <alignment vertical="center"/>
    </xf>
    <xf numFmtId="43" fontId="64" fillId="35" borderId="26" xfId="52" applyFont="1" applyFill="1" applyBorder="1" applyAlignment="1">
      <alignment horizontal="center" vertical="center"/>
    </xf>
    <xf numFmtId="0" fontId="64" fillId="35" borderId="28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3" fillId="35" borderId="26" xfId="0" applyFont="1" applyFill="1" applyBorder="1" applyAlignment="1">
      <alignment horizontal="center" vertical="center"/>
    </xf>
    <xf numFmtId="44" fontId="63" fillId="35" borderId="26" xfId="0" applyNumberFormat="1" applyFont="1" applyFill="1" applyBorder="1" applyAlignment="1">
      <alignment horizontal="center" vertical="center"/>
    </xf>
    <xf numFmtId="0" fontId="64" fillId="35" borderId="28" xfId="0" applyFont="1" applyFill="1" applyBorder="1" applyAlignment="1">
      <alignment vertical="center"/>
    </xf>
    <xf numFmtId="0" fontId="63" fillId="0" borderId="26" xfId="0" applyFont="1" applyFill="1" applyBorder="1" applyAlignment="1">
      <alignment horizontal="center" vertical="center"/>
    </xf>
    <xf numFmtId="44" fontId="63" fillId="0" borderId="26" xfId="0" applyNumberFormat="1" applyFont="1" applyFill="1" applyBorder="1" applyAlignment="1">
      <alignment vertical="center"/>
    </xf>
    <xf numFmtId="44" fontId="63" fillId="0" borderId="26" xfId="0" applyNumberFormat="1" applyFont="1" applyFill="1" applyBorder="1" applyAlignment="1">
      <alignment horizontal="center" vertical="center"/>
    </xf>
    <xf numFmtId="44" fontId="63" fillId="0" borderId="29" xfId="0" applyNumberFormat="1" applyFont="1" applyFill="1" applyBorder="1" applyAlignment="1">
      <alignment vertical="center"/>
    </xf>
    <xf numFmtId="44" fontId="64" fillId="35" borderId="26" xfId="0" applyNumberFormat="1" applyFont="1" applyFill="1" applyBorder="1" applyAlignment="1">
      <alignment vertical="center"/>
    </xf>
    <xf numFmtId="44" fontId="64" fillId="35" borderId="26" xfId="50" applyNumberFormat="1" applyFont="1" applyFill="1" applyBorder="1" applyAlignment="1">
      <alignment vertical="center"/>
    </xf>
    <xf numFmtId="0" fontId="64" fillId="35" borderId="30" xfId="0" applyFont="1" applyFill="1" applyBorder="1" applyAlignment="1">
      <alignment vertical="center"/>
    </xf>
    <xf numFmtId="0" fontId="64" fillId="0" borderId="31" xfId="0" applyFont="1" applyFill="1" applyBorder="1" applyAlignment="1">
      <alignment horizontal="center" vertical="center"/>
    </xf>
    <xf numFmtId="44" fontId="64" fillId="0" borderId="31" xfId="0" applyNumberFormat="1" applyFont="1" applyFill="1" applyBorder="1" applyAlignment="1">
      <alignment vertical="center"/>
    </xf>
    <xf numFmtId="44" fontId="64" fillId="35" borderId="31" xfId="0" applyNumberFormat="1" applyFont="1" applyFill="1" applyBorder="1" applyAlignment="1">
      <alignment horizontal="center" vertical="center"/>
    </xf>
    <xf numFmtId="44" fontId="64" fillId="35" borderId="3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44" fontId="64" fillId="0" borderId="0" xfId="50" applyNumberFormat="1" applyFont="1" applyFill="1" applyBorder="1" applyAlignment="1">
      <alignment vertical="center"/>
    </xf>
    <xf numFmtId="0" fontId="63" fillId="35" borderId="28" xfId="0" applyFont="1" applyFill="1" applyBorder="1" applyAlignment="1">
      <alignment horizontal="center" vertical="center"/>
    </xf>
    <xf numFmtId="0" fontId="63" fillId="35" borderId="29" xfId="0" applyFont="1" applyFill="1" applyBorder="1" applyAlignment="1">
      <alignment horizontal="center" vertical="center"/>
    </xf>
    <xf numFmtId="44" fontId="63" fillId="35" borderId="28" xfId="0" applyNumberFormat="1" applyFont="1" applyFill="1" applyBorder="1" applyAlignment="1">
      <alignment vertical="center"/>
    </xf>
    <xf numFmtId="44" fontId="63" fillId="35" borderId="29" xfId="0" applyNumberFormat="1" applyFont="1" applyFill="1" applyBorder="1" applyAlignment="1">
      <alignment vertical="center"/>
    </xf>
    <xf numFmtId="44" fontId="63" fillId="35" borderId="30" xfId="0" applyNumberFormat="1" applyFont="1" applyFill="1" applyBorder="1" applyAlignment="1">
      <alignment vertical="center"/>
    </xf>
    <xf numFmtId="44" fontId="63" fillId="35" borderId="31" xfId="0" applyNumberFormat="1" applyFont="1" applyFill="1" applyBorder="1" applyAlignment="1">
      <alignment vertical="center"/>
    </xf>
    <xf numFmtId="44" fontId="63" fillId="35" borderId="32" xfId="0" applyNumberFormat="1" applyFont="1" applyFill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44" fontId="63" fillId="0" borderId="0" xfId="0" applyNumberFormat="1" applyFont="1" applyBorder="1" applyAlignment="1">
      <alignment vertical="center"/>
    </xf>
    <xf numFmtId="17" fontId="63" fillId="0" borderId="10" xfId="0" applyNumberFormat="1" applyFont="1" applyBorder="1" applyAlignment="1">
      <alignment horizontal="center" vertical="center"/>
    </xf>
    <xf numFmtId="17" fontId="63" fillId="0" borderId="10" xfId="0" applyNumberFormat="1" applyFont="1" applyFill="1" applyBorder="1" applyAlignment="1">
      <alignment horizontal="center" vertical="center"/>
    </xf>
    <xf numFmtId="43" fontId="63" fillId="0" borderId="10" xfId="52" applyFont="1" applyFill="1" applyBorder="1" applyAlignment="1">
      <alignment vertical="center"/>
    </xf>
    <xf numFmtId="43" fontId="63" fillId="36" borderId="10" xfId="52" applyFont="1" applyFill="1" applyBorder="1" applyAlignment="1">
      <alignment vertical="center"/>
    </xf>
    <xf numFmtId="43" fontId="64" fillId="0" borderId="10" xfId="52" applyFont="1" applyBorder="1" applyAlignment="1">
      <alignment vertical="center"/>
    </xf>
    <xf numFmtId="43" fontId="64" fillId="36" borderId="10" xfId="52" applyFont="1" applyFill="1" applyBorder="1" applyAlignment="1">
      <alignment vertical="center"/>
    </xf>
    <xf numFmtId="44" fontId="68" fillId="35" borderId="26" xfId="0" applyNumberFormat="1" applyFont="1" applyFill="1" applyBorder="1" applyAlignment="1">
      <alignment vertical="center"/>
    </xf>
    <xf numFmtId="165" fontId="59" fillId="34" borderId="12" xfId="50" applyNumberFormat="1" applyFont="1" applyFill="1" applyBorder="1" applyAlignment="1">
      <alignment horizontal="center" vertical="center" wrapText="1"/>
    </xf>
    <xf numFmtId="43" fontId="5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0" fillId="34" borderId="0" xfId="0" applyFill="1" applyAlignment="1">
      <alignment/>
    </xf>
    <xf numFmtId="165" fontId="24" fillId="34" borderId="10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left" wrapText="1"/>
    </xf>
    <xf numFmtId="0" fontId="59" fillId="3" borderId="0" xfId="0" applyFont="1" applyFill="1" applyAlignment="1">
      <alignment horizontal="left" wrapText="1"/>
    </xf>
    <xf numFmtId="0" fontId="60" fillId="0" borderId="26" xfId="0" applyFont="1" applyBorder="1" applyAlignment="1">
      <alignment horizontal="center" vertical="center" wrapText="1"/>
    </xf>
    <xf numFmtId="0" fontId="59" fillId="0" borderId="26" xfId="0" applyFont="1" applyBorder="1" applyAlignment="1">
      <alignment vertical="center" wrapText="1"/>
    </xf>
    <xf numFmtId="165" fontId="59" fillId="0" borderId="26" xfId="0" applyNumberFormat="1" applyFont="1" applyBorder="1" applyAlignment="1">
      <alignment horizontal="center" vertical="center"/>
    </xf>
    <xf numFmtId="165" fontId="60" fillId="0" borderId="26" xfId="0" applyNumberFormat="1" applyFont="1" applyFill="1" applyBorder="1" applyAlignment="1">
      <alignment horizontal="center"/>
    </xf>
    <xf numFmtId="10" fontId="59" fillId="0" borderId="26" xfId="0" applyNumberFormat="1" applyFont="1" applyBorder="1" applyAlignment="1">
      <alignment horizontal="center" vertical="center" wrapText="1"/>
    </xf>
    <xf numFmtId="0" fontId="59" fillId="0" borderId="26" xfId="0" applyFont="1" applyFill="1" applyBorder="1" applyAlignment="1">
      <alignment vertical="center" wrapText="1"/>
    </xf>
    <xf numFmtId="10" fontId="59" fillId="3" borderId="26" xfId="0" applyNumberFormat="1" applyFont="1" applyFill="1" applyBorder="1" applyAlignment="1">
      <alignment horizontal="center" vertical="center" wrapText="1"/>
    </xf>
    <xf numFmtId="10" fontId="60" fillId="3" borderId="26" xfId="0" applyNumberFormat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justify" vertical="center" wrapText="1"/>
    </xf>
    <xf numFmtId="165" fontId="59" fillId="3" borderId="26" xfId="0" applyNumberFormat="1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justify" vertical="center" wrapText="1"/>
    </xf>
    <xf numFmtId="165" fontId="59" fillId="0" borderId="26" xfId="0" applyNumberFormat="1" applyFont="1" applyFill="1" applyBorder="1" applyAlignment="1">
      <alignment horizontal="center"/>
    </xf>
    <xf numFmtId="165" fontId="59" fillId="3" borderId="26" xfId="0" applyNumberFormat="1" applyFont="1" applyFill="1" applyBorder="1" applyAlignment="1">
      <alignment horizontal="center"/>
    </xf>
    <xf numFmtId="165" fontId="24" fillId="0" borderId="26" xfId="0" applyNumberFormat="1" applyFont="1" applyFill="1" applyBorder="1" applyAlignment="1">
      <alignment horizontal="center" vertical="center" wrapText="1"/>
    </xf>
    <xf numFmtId="165" fontId="24" fillId="3" borderId="26" xfId="0" applyNumberFormat="1" applyFont="1" applyFill="1" applyBorder="1" applyAlignment="1">
      <alignment horizontal="center" vertical="center" wrapText="1"/>
    </xf>
    <xf numFmtId="165" fontId="60" fillId="0" borderId="26" xfId="0" applyNumberFormat="1" applyFont="1" applyFill="1" applyBorder="1" applyAlignment="1">
      <alignment horizontal="center" vertical="center" wrapText="1"/>
    </xf>
    <xf numFmtId="165" fontId="59" fillId="3" borderId="26" xfId="50" applyNumberFormat="1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vertical="center" wrapText="1"/>
    </xf>
    <xf numFmtId="10" fontId="59" fillId="0" borderId="33" xfId="0" applyNumberFormat="1" applyFont="1" applyBorder="1" applyAlignment="1">
      <alignment horizontal="center" vertical="center" wrapText="1"/>
    </xf>
    <xf numFmtId="10" fontId="4" fillId="3" borderId="26" xfId="0" applyNumberFormat="1" applyFont="1" applyFill="1" applyBorder="1" applyAlignment="1">
      <alignment horizontal="center" vertical="center" wrapText="1"/>
    </xf>
    <xf numFmtId="10" fontId="59" fillId="0" borderId="26" xfId="50" applyNumberFormat="1" applyFont="1" applyBorder="1" applyAlignment="1">
      <alignment horizontal="center" vertical="center" wrapText="1"/>
    </xf>
    <xf numFmtId="9" fontId="59" fillId="0" borderId="26" xfId="50" applyFont="1" applyBorder="1" applyAlignment="1">
      <alignment horizontal="center" vertical="center" wrapText="1"/>
    </xf>
    <xf numFmtId="0" fontId="59" fillId="0" borderId="2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165" fontId="59" fillId="3" borderId="26" xfId="0" applyNumberFormat="1" applyFont="1" applyFill="1" applyBorder="1" applyAlignment="1">
      <alignment horizontal="center" vertical="center" wrapText="1"/>
    </xf>
    <xf numFmtId="10" fontId="59" fillId="3" borderId="26" xfId="50" applyNumberFormat="1" applyFont="1" applyFill="1" applyBorder="1" applyAlignment="1">
      <alignment horizontal="center" vertical="center" wrapText="1"/>
    </xf>
    <xf numFmtId="165" fontId="24" fillId="3" borderId="26" xfId="0" applyNumberFormat="1" applyFont="1" applyFill="1" applyBorder="1" applyAlignment="1">
      <alignment horizontal="center"/>
    </xf>
    <xf numFmtId="0" fontId="59" fillId="0" borderId="18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34" xfId="0" applyFont="1" applyBorder="1" applyAlignment="1">
      <alignment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43" fontId="59" fillId="0" borderId="29" xfId="0" applyNumberFormat="1" applyFont="1" applyFill="1" applyBorder="1" applyAlignment="1">
      <alignment horizontal="center" vertical="center" wrapText="1"/>
    </xf>
    <xf numFmtId="43" fontId="60" fillId="0" borderId="32" xfId="0" applyNumberFormat="1" applyFont="1" applyFill="1" applyBorder="1" applyAlignment="1">
      <alignment horizontal="center" vertical="center" wrapText="1"/>
    </xf>
    <xf numFmtId="43" fontId="60" fillId="0" borderId="0" xfId="52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vertical="center"/>
    </xf>
    <xf numFmtId="43" fontId="59" fillId="0" borderId="29" xfId="0" applyNumberFormat="1" applyFont="1" applyBorder="1" applyAlignment="1">
      <alignment horizontal="center" vertical="center" wrapText="1"/>
    </xf>
    <xf numFmtId="43" fontId="60" fillId="0" borderId="29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2" fontId="59" fillId="0" borderId="29" xfId="0" applyNumberFormat="1" applyFont="1" applyBorder="1" applyAlignment="1">
      <alignment horizontal="right" vertical="center" wrapText="1"/>
    </xf>
    <xf numFmtId="2" fontId="60" fillId="0" borderId="32" xfId="0" applyNumberFormat="1" applyFont="1" applyFill="1" applyBorder="1" applyAlignment="1">
      <alignment horizontal="right" vertical="center" wrapText="1"/>
    </xf>
    <xf numFmtId="43" fontId="59" fillId="0" borderId="29" xfId="52" applyFont="1" applyBorder="1" applyAlignment="1">
      <alignment horizontal="center" vertical="center" wrapText="1"/>
    </xf>
    <xf numFmtId="43" fontId="60" fillId="0" borderId="32" xfId="52" applyFont="1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59" fillId="36" borderId="34" xfId="0" applyFont="1" applyFill="1" applyBorder="1" applyAlignment="1">
      <alignment/>
    </xf>
    <xf numFmtId="0" fontId="60" fillId="36" borderId="28" xfId="0" applyFont="1" applyFill="1" applyBorder="1" applyAlignment="1">
      <alignment horizontal="center" vertical="center" wrapText="1"/>
    </xf>
    <xf numFmtId="0" fontId="60" fillId="36" borderId="29" xfId="0" applyFont="1" applyFill="1" applyBorder="1" applyAlignment="1">
      <alignment horizontal="center" vertical="center" wrapText="1"/>
    </xf>
    <xf numFmtId="0" fontId="59" fillId="36" borderId="28" xfId="0" applyFont="1" applyFill="1" applyBorder="1" applyAlignment="1">
      <alignment horizontal="center" vertical="center" wrapText="1"/>
    </xf>
    <xf numFmtId="43" fontId="59" fillId="36" borderId="29" xfId="0" applyNumberFormat="1" applyFont="1" applyFill="1" applyBorder="1" applyAlignment="1">
      <alignment horizontal="center" vertical="center" wrapText="1"/>
    </xf>
    <xf numFmtId="2" fontId="59" fillId="36" borderId="29" xfId="0" applyNumberFormat="1" applyFont="1" applyFill="1" applyBorder="1" applyAlignment="1">
      <alignment horizontal="right" vertical="center" wrapText="1"/>
    </xf>
    <xf numFmtId="43" fontId="60" fillId="36" borderId="32" xfId="0" applyNumberFormat="1" applyFont="1" applyFill="1" applyBorder="1" applyAlignment="1">
      <alignment horizontal="center" vertical="center" wrapText="1"/>
    </xf>
    <xf numFmtId="165" fontId="60" fillId="0" borderId="31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 vertical="center" wrapText="1"/>
    </xf>
    <xf numFmtId="165" fontId="60" fillId="0" borderId="31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43" fontId="0" fillId="36" borderId="35" xfId="0" applyNumberFormat="1" applyFill="1" applyBorder="1" applyAlignment="1">
      <alignment/>
    </xf>
    <xf numFmtId="43" fontId="60" fillId="0" borderId="36" xfId="0" applyNumberFormat="1" applyFont="1" applyFill="1" applyBorder="1" applyAlignment="1">
      <alignment horizontal="center" vertical="center" wrapText="1"/>
    </xf>
    <xf numFmtId="43" fontId="24" fillId="0" borderId="29" xfId="52" applyFont="1" applyFill="1" applyBorder="1" applyAlignment="1">
      <alignment horizontal="center" vertical="center" wrapText="1"/>
    </xf>
    <xf numFmtId="43" fontId="59" fillId="0" borderId="32" xfId="0" applyNumberFormat="1" applyFont="1" applyBorder="1" applyAlignment="1">
      <alignment horizontal="center" vertical="center" wrapText="1"/>
    </xf>
    <xf numFmtId="0" fontId="59" fillId="36" borderId="37" xfId="0" applyFont="1" applyFill="1" applyBorder="1" applyAlignment="1">
      <alignment horizontal="center" vertical="center" wrapText="1"/>
    </xf>
    <xf numFmtId="0" fontId="59" fillId="36" borderId="38" xfId="0" applyFont="1" applyFill="1" applyBorder="1" applyAlignment="1">
      <alignment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59" fillId="36" borderId="39" xfId="0" applyFont="1" applyFill="1" applyBorder="1" applyAlignment="1">
      <alignment vertical="center" wrapText="1"/>
    </xf>
    <xf numFmtId="0" fontId="59" fillId="36" borderId="40" xfId="0" applyFont="1" applyFill="1" applyBorder="1" applyAlignment="1">
      <alignment horizontal="center" vertical="center" wrapText="1"/>
    </xf>
    <xf numFmtId="0" fontId="59" fillId="36" borderId="41" xfId="0" applyFont="1" applyFill="1" applyBorder="1" applyAlignment="1">
      <alignment vertical="center" wrapText="1"/>
    </xf>
    <xf numFmtId="0" fontId="59" fillId="36" borderId="0" xfId="0" applyFont="1" applyFill="1" applyAlignment="1">
      <alignment/>
    </xf>
    <xf numFmtId="0" fontId="60" fillId="36" borderId="26" xfId="0" applyFont="1" applyFill="1" applyBorder="1" applyAlignment="1">
      <alignment horizontal="center" vertical="center" wrapText="1"/>
    </xf>
    <xf numFmtId="43" fontId="59" fillId="36" borderId="26" xfId="0" applyNumberFormat="1" applyFont="1" applyFill="1" applyBorder="1" applyAlignment="1">
      <alignment vertical="center" wrapText="1"/>
    </xf>
    <xf numFmtId="44" fontId="60" fillId="36" borderId="26" xfId="45" applyFont="1" applyFill="1" applyBorder="1" applyAlignment="1">
      <alignment vertical="center" wrapText="1"/>
    </xf>
    <xf numFmtId="0" fontId="60" fillId="2" borderId="0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/>
    </xf>
    <xf numFmtId="0" fontId="69" fillId="14" borderId="0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9" fillId="14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left" wrapText="1"/>
    </xf>
    <xf numFmtId="0" fontId="70" fillId="37" borderId="0" xfId="0" applyFont="1" applyFill="1" applyAlignment="1">
      <alignment horizontal="center"/>
    </xf>
    <xf numFmtId="0" fontId="71" fillId="37" borderId="0" xfId="0" applyFont="1" applyFill="1" applyAlignment="1">
      <alignment horizontal="center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wrapText="1"/>
    </xf>
    <xf numFmtId="0" fontId="69" fillId="14" borderId="20" xfId="0" applyFont="1" applyFill="1" applyBorder="1" applyAlignment="1">
      <alignment horizontal="center" vertical="center"/>
    </xf>
    <xf numFmtId="0" fontId="69" fillId="14" borderId="15" xfId="0" applyFont="1" applyFill="1" applyBorder="1" applyAlignment="1">
      <alignment horizontal="center" vertical="center"/>
    </xf>
    <xf numFmtId="0" fontId="69" fillId="14" borderId="13" xfId="0" applyFont="1" applyFill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2" borderId="18" xfId="0" applyFont="1" applyFill="1" applyBorder="1" applyAlignment="1">
      <alignment horizontal="center" vertical="center" wrapText="1"/>
    </xf>
    <xf numFmtId="0" fontId="60" fillId="2" borderId="34" xfId="0" applyFont="1" applyFill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2" borderId="18" xfId="0" applyFont="1" applyFill="1" applyBorder="1" applyAlignment="1">
      <alignment horizontal="center" vertical="center"/>
    </xf>
    <xf numFmtId="0" fontId="60" fillId="2" borderId="34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60" fillId="36" borderId="17" xfId="0" applyFont="1" applyFill="1" applyBorder="1" applyAlignment="1">
      <alignment horizontal="center" vertical="center"/>
    </xf>
    <xf numFmtId="0" fontId="60" fillId="36" borderId="42" xfId="0" applyFont="1" applyFill="1" applyBorder="1" applyAlignment="1">
      <alignment horizontal="center" vertical="center"/>
    </xf>
    <xf numFmtId="0" fontId="60" fillId="36" borderId="26" xfId="0" applyFont="1" applyFill="1" applyBorder="1" applyAlignment="1">
      <alignment horizontal="center" vertical="center" wrapText="1"/>
    </xf>
    <xf numFmtId="0" fontId="59" fillId="36" borderId="26" xfId="0" applyFont="1" applyFill="1" applyBorder="1" applyAlignment="1">
      <alignment horizontal="left" vertical="center" wrapText="1"/>
    </xf>
    <xf numFmtId="0" fontId="60" fillId="36" borderId="30" xfId="0" applyFont="1" applyFill="1" applyBorder="1" applyAlignment="1">
      <alignment horizontal="center" vertical="center" wrapText="1"/>
    </xf>
    <xf numFmtId="0" fontId="60" fillId="36" borderId="31" xfId="0" applyFont="1" applyFill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10" fontId="60" fillId="36" borderId="33" xfId="0" applyNumberFormat="1" applyFont="1" applyFill="1" applyBorder="1" applyAlignment="1">
      <alignment horizontal="center" vertical="center" wrapText="1"/>
    </xf>
    <xf numFmtId="10" fontId="60" fillId="36" borderId="45" xfId="0" applyNumberFormat="1" applyFont="1" applyFill="1" applyBorder="1" applyAlignment="1">
      <alignment horizontal="center" vertical="center" wrapText="1"/>
    </xf>
    <xf numFmtId="10" fontId="60" fillId="36" borderId="46" xfId="0" applyNumberFormat="1" applyFont="1" applyFill="1" applyBorder="1" applyAlignment="1">
      <alignment horizontal="center" vertical="center" wrapText="1"/>
    </xf>
    <xf numFmtId="43" fontId="60" fillId="36" borderId="36" xfId="0" applyNumberFormat="1" applyFont="1" applyFill="1" applyBorder="1" applyAlignment="1">
      <alignment horizontal="center" vertical="center" wrapText="1"/>
    </xf>
    <xf numFmtId="43" fontId="60" fillId="36" borderId="47" xfId="0" applyNumberFormat="1" applyFont="1" applyFill="1" applyBorder="1" applyAlignment="1">
      <alignment horizontal="center" vertical="center" wrapText="1"/>
    </xf>
    <xf numFmtId="43" fontId="60" fillId="36" borderId="48" xfId="0" applyNumberFormat="1" applyFont="1" applyFill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9" fillId="36" borderId="26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35" borderId="26" xfId="0" applyFont="1" applyFill="1" applyBorder="1" applyAlignment="1">
      <alignment horizontal="center" vertical="center"/>
    </xf>
    <xf numFmtId="0" fontId="64" fillId="0" borderId="33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35" borderId="33" xfId="0" applyFont="1" applyFill="1" applyBorder="1" applyAlignment="1">
      <alignment horizontal="center" vertical="center"/>
    </xf>
    <xf numFmtId="0" fontId="64" fillId="35" borderId="46" xfId="0" applyFont="1" applyFill="1" applyBorder="1" applyAlignment="1">
      <alignment horizontal="center" vertical="center"/>
    </xf>
    <xf numFmtId="0" fontId="64" fillId="0" borderId="52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/>
    </xf>
    <xf numFmtId="10" fontId="64" fillId="35" borderId="33" xfId="50" applyNumberFormat="1" applyFont="1" applyFill="1" applyBorder="1" applyAlignment="1">
      <alignment horizontal="center" vertical="center"/>
    </xf>
    <xf numFmtId="10" fontId="64" fillId="35" borderId="46" xfId="50" applyNumberFormat="1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 wrapText="1"/>
    </xf>
    <xf numFmtId="44" fontId="64" fillId="35" borderId="26" xfId="45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43" fontId="63" fillId="0" borderId="0" xfId="52" applyFont="1" applyBorder="1" applyAlignment="1">
      <alignment horizontal="center" vertical="center"/>
    </xf>
    <xf numFmtId="10" fontId="63" fillId="0" borderId="0" xfId="50" applyNumberFormat="1" applyFont="1" applyBorder="1" applyAlignment="1">
      <alignment horizontal="center" vertical="center"/>
    </xf>
    <xf numFmtId="0" fontId="64" fillId="35" borderId="52" xfId="0" applyFont="1" applyFill="1" applyBorder="1" applyAlignment="1">
      <alignment horizontal="center" vertical="center" wrapText="1"/>
    </xf>
    <xf numFmtId="0" fontId="64" fillId="35" borderId="38" xfId="0" applyFont="1" applyFill="1" applyBorder="1" applyAlignment="1">
      <alignment horizontal="center" vertical="center" wrapText="1"/>
    </xf>
    <xf numFmtId="0" fontId="64" fillId="35" borderId="53" xfId="0" applyFont="1" applyFill="1" applyBorder="1" applyAlignment="1">
      <alignment horizontal="center" vertical="center" wrapText="1"/>
    </xf>
    <xf numFmtId="0" fontId="64" fillId="35" borderId="41" xfId="0" applyFont="1" applyFill="1" applyBorder="1" applyAlignment="1">
      <alignment horizontal="center" vertical="center" wrapText="1"/>
    </xf>
    <xf numFmtId="10" fontId="64" fillId="0" borderId="26" xfId="50" applyNumberFormat="1" applyFont="1" applyBorder="1" applyAlignment="1">
      <alignment horizontal="center" vertical="center" wrapText="1"/>
    </xf>
    <xf numFmtId="44" fontId="63" fillId="0" borderId="26" xfId="45" applyFont="1" applyBorder="1" applyAlignment="1">
      <alignment horizontal="center" vertical="center"/>
    </xf>
    <xf numFmtId="44" fontId="64" fillId="35" borderId="26" xfId="0" applyNumberFormat="1" applyFont="1" applyFill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vertical="center" wrapText="1"/>
    </xf>
    <xf numFmtId="0" fontId="63" fillId="35" borderId="42" xfId="0" applyFont="1" applyFill="1" applyBorder="1" applyAlignment="1">
      <alignment horizontal="center" vertical="center" wrapText="1"/>
    </xf>
    <xf numFmtId="0" fontId="63" fillId="35" borderId="40" xfId="0" applyFont="1" applyFill="1" applyBorder="1" applyAlignment="1">
      <alignment horizontal="center" vertical="center" wrapText="1"/>
    </xf>
    <xf numFmtId="0" fontId="63" fillId="35" borderId="57" xfId="0" applyFont="1" applyFill="1" applyBorder="1" applyAlignment="1">
      <alignment horizontal="center" vertical="center" wrapText="1"/>
    </xf>
    <xf numFmtId="0" fontId="63" fillId="35" borderId="58" xfId="0" applyFont="1" applyFill="1" applyBorder="1" applyAlignment="1">
      <alignment horizontal="center" vertical="center" wrapText="1"/>
    </xf>
    <xf numFmtId="0" fontId="63" fillId="35" borderId="43" xfId="0" applyFont="1" applyFill="1" applyBorder="1" applyAlignment="1">
      <alignment horizontal="center" vertical="center"/>
    </xf>
    <xf numFmtId="0" fontId="63" fillId="35" borderId="59" xfId="0" applyFont="1" applyFill="1" applyBorder="1" applyAlignment="1">
      <alignment horizontal="center" vertical="center"/>
    </xf>
    <xf numFmtId="0" fontId="63" fillId="35" borderId="6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 2" xfId="62"/>
    <cellStyle name="Vírgula 3" xfId="63"/>
    <cellStyle name="Vírgula 3 2" xfId="64"/>
    <cellStyle name="Vírgula 4" xfId="65"/>
    <cellStyle name="Vírgula 4 2" xfId="66"/>
    <cellStyle name="Vírgula 5" xfId="67"/>
    <cellStyle name="Vírgula 5 2" xfId="68"/>
    <cellStyle name="Vírgula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138</xdr:row>
      <xdr:rowOff>133350</xdr:rowOff>
    </xdr:from>
    <xdr:to>
      <xdr:col>4</xdr:col>
      <xdr:colOff>561975</xdr:colOff>
      <xdr:row>140</xdr:row>
      <xdr:rowOff>47625</xdr:rowOff>
    </xdr:to>
    <xdr:sp>
      <xdr:nvSpPr>
        <xdr:cNvPr id="1" name="Seta para baixo 1"/>
        <xdr:cNvSpPr>
          <a:spLocks/>
        </xdr:cNvSpPr>
      </xdr:nvSpPr>
      <xdr:spPr>
        <a:xfrm>
          <a:off x="6581775" y="31394400"/>
          <a:ext cx="161925" cy="533400"/>
        </a:xfrm>
        <a:prstGeom prst="downArrow">
          <a:avLst>
            <a:gd name="adj" fmla="val 3481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showGridLines="0" zoomScalePageLayoutView="0" workbookViewId="0" topLeftCell="A1">
      <selection activeCell="G75" sqref="G75"/>
    </sheetView>
  </sheetViews>
  <sheetFormatPr defaultColWidth="9.140625" defaultRowHeight="15"/>
  <cols>
    <col min="1" max="1" width="7.7109375" style="9" customWidth="1"/>
    <col min="2" max="2" width="54.8515625" style="9" customWidth="1"/>
    <col min="3" max="3" width="15.28125" style="9" customWidth="1"/>
    <col min="4" max="5" width="14.8515625" style="9" customWidth="1"/>
    <col min="6" max="6" width="12.00390625" style="9" customWidth="1"/>
    <col min="7" max="7" width="15.140625" style="9" customWidth="1"/>
    <col min="8" max="9" width="9.140625" style="9" customWidth="1"/>
    <col min="10" max="10" width="13.8515625" style="9" customWidth="1"/>
    <col min="11" max="16384" width="9.140625" style="9" customWidth="1"/>
  </cols>
  <sheetData>
    <row r="1" spans="1:4" ht="23.25">
      <c r="A1" s="275" t="s">
        <v>62</v>
      </c>
      <c r="B1" s="275"/>
      <c r="C1" s="275"/>
      <c r="D1" s="275"/>
    </row>
    <row r="2" spans="1:4" ht="18.75">
      <c r="A2" s="276" t="s">
        <v>63</v>
      </c>
      <c r="B2" s="276"/>
      <c r="C2" s="276"/>
      <c r="D2" s="276"/>
    </row>
    <row r="3" spans="1:4" ht="15.75">
      <c r="A3" s="279" t="s">
        <v>64</v>
      </c>
      <c r="B3" s="279"/>
      <c r="C3" s="279"/>
      <c r="D3" s="279"/>
    </row>
    <row r="5" spans="1:6" ht="18.75">
      <c r="A5" s="270" t="s">
        <v>8</v>
      </c>
      <c r="B5" s="270"/>
      <c r="C5" s="270"/>
      <c r="E5"/>
      <c r="F5" s="9" t="s">
        <v>181</v>
      </c>
    </row>
    <row r="6" ht="16.5" thickBot="1">
      <c r="E6"/>
    </row>
    <row r="7" spans="1:5" ht="16.5" thickBot="1">
      <c r="A7" s="3">
        <v>1</v>
      </c>
      <c r="B7" s="40" t="s">
        <v>9</v>
      </c>
      <c r="C7" s="40" t="s">
        <v>10</v>
      </c>
      <c r="E7"/>
    </row>
    <row r="8" spans="1:5" ht="16.5" thickBot="1">
      <c r="A8" s="4" t="s">
        <v>11</v>
      </c>
      <c r="B8" s="5" t="s">
        <v>179</v>
      </c>
      <c r="C8" s="11">
        <v>1443.19</v>
      </c>
      <c r="E8"/>
    </row>
    <row r="9" spans="1:5" ht="16.5" thickBot="1">
      <c r="A9" s="4" t="s">
        <v>12</v>
      </c>
      <c r="B9" s="5" t="s">
        <v>13</v>
      </c>
      <c r="C9" s="11">
        <v>0</v>
      </c>
      <c r="E9"/>
    </row>
    <row r="10" spans="1:5" ht="16.5" thickBot="1">
      <c r="A10" s="4" t="s">
        <v>14</v>
      </c>
      <c r="B10" s="5" t="s">
        <v>15</v>
      </c>
      <c r="C10" s="11">
        <v>0</v>
      </c>
      <c r="E10"/>
    </row>
    <row r="11" spans="1:5" ht="16.5" thickBot="1">
      <c r="A11" s="4" t="s">
        <v>16</v>
      </c>
      <c r="B11" s="5" t="s">
        <v>0</v>
      </c>
      <c r="C11" s="11">
        <v>0</v>
      </c>
      <c r="E11"/>
    </row>
    <row r="12" spans="1:5" ht="16.5" thickBot="1">
      <c r="A12" s="4" t="s">
        <v>17</v>
      </c>
      <c r="B12" s="5" t="s">
        <v>69</v>
      </c>
      <c r="C12" s="11">
        <v>0</v>
      </c>
      <c r="E12"/>
    </row>
    <row r="13" spans="1:5" ht="16.5" thickBot="1">
      <c r="A13" s="4" t="s">
        <v>18</v>
      </c>
      <c r="B13" s="5" t="s">
        <v>70</v>
      </c>
      <c r="C13" s="11"/>
      <c r="E13"/>
    </row>
    <row r="14" spans="1:5" ht="16.5" thickBot="1">
      <c r="A14" s="4" t="s">
        <v>19</v>
      </c>
      <c r="B14" s="5" t="s">
        <v>71</v>
      </c>
      <c r="C14" s="11"/>
      <c r="E14"/>
    </row>
    <row r="15" spans="1:5" ht="16.5" thickBot="1">
      <c r="A15" s="4" t="s">
        <v>34</v>
      </c>
      <c r="B15" s="5" t="s">
        <v>65</v>
      </c>
      <c r="C15" s="11"/>
      <c r="E15"/>
    </row>
    <row r="16" spans="1:5" ht="16.5" thickBot="1">
      <c r="A16" s="4"/>
      <c r="B16" s="5" t="s">
        <v>72</v>
      </c>
      <c r="C16" s="11"/>
      <c r="E16"/>
    </row>
    <row r="17" spans="1:5" ht="16.5" thickBot="1">
      <c r="A17" s="4" t="s">
        <v>73</v>
      </c>
      <c r="B17" s="5" t="s">
        <v>74</v>
      </c>
      <c r="C17" s="11"/>
      <c r="E17"/>
    </row>
    <row r="18" spans="1:5" ht="16.5" thickBot="1">
      <c r="A18" s="4" t="s">
        <v>75</v>
      </c>
      <c r="B18" s="5" t="s">
        <v>65</v>
      </c>
      <c r="C18" s="11"/>
      <c r="E18"/>
    </row>
    <row r="19" spans="1:5" ht="16.5" thickBot="1">
      <c r="A19" s="266" t="s">
        <v>1</v>
      </c>
      <c r="B19" s="267"/>
      <c r="C19" s="37">
        <f>SUM(C8:C18)</f>
        <v>1443.19</v>
      </c>
      <c r="E19"/>
    </row>
    <row r="20" ht="15.75">
      <c r="E20"/>
    </row>
    <row r="21" ht="15.75">
      <c r="E21"/>
    </row>
    <row r="22" spans="1:5" ht="18.75">
      <c r="A22" s="272" t="s">
        <v>21</v>
      </c>
      <c r="B22" s="272"/>
      <c r="C22" s="272"/>
      <c r="E22"/>
    </row>
    <row r="23" spans="1:5" ht="15.75">
      <c r="A23" s="2"/>
      <c r="E23"/>
    </row>
    <row r="24" spans="1:5" ht="15.75">
      <c r="A24" s="265" t="s">
        <v>22</v>
      </c>
      <c r="B24" s="265"/>
      <c r="C24" s="265"/>
      <c r="E24"/>
    </row>
    <row r="25" ht="16.5" thickBot="1"/>
    <row r="26" spans="1:4" ht="32.25" thickBot="1">
      <c r="A26" s="3" t="s">
        <v>23</v>
      </c>
      <c r="B26" s="41" t="s">
        <v>24</v>
      </c>
      <c r="C26" s="3" t="s">
        <v>29</v>
      </c>
      <c r="D26" s="40" t="s">
        <v>10</v>
      </c>
    </row>
    <row r="27" spans="1:4" ht="16.5" thickBot="1">
      <c r="A27" s="4" t="s">
        <v>11</v>
      </c>
      <c r="B27" s="12" t="s">
        <v>25</v>
      </c>
      <c r="C27" s="71">
        <v>0.0833</v>
      </c>
      <c r="D27" s="13">
        <f>C19*C27</f>
        <v>120.217727</v>
      </c>
    </row>
    <row r="28" spans="1:4" ht="16.5" thickBot="1">
      <c r="A28" s="4" t="s">
        <v>12</v>
      </c>
      <c r="B28" s="12" t="s">
        <v>182</v>
      </c>
      <c r="C28" s="71">
        <v>0.0278</v>
      </c>
      <c r="D28" s="13">
        <f>C19*C28</f>
        <v>40.120682</v>
      </c>
    </row>
    <row r="29" spans="1:5" ht="16.5" thickBot="1">
      <c r="A29" s="266" t="s">
        <v>1</v>
      </c>
      <c r="B29" s="271"/>
      <c r="C29" s="72">
        <f>SUM(C27:C28)</f>
        <v>0.1111</v>
      </c>
      <c r="D29" s="21">
        <f>SUM(D27:D28)</f>
        <v>160.338409</v>
      </c>
      <c r="E29"/>
    </row>
    <row r="32" spans="1:4" ht="32.25" customHeight="1">
      <c r="A32" s="268" t="s">
        <v>26</v>
      </c>
      <c r="B32" s="268"/>
      <c r="C32" s="268"/>
      <c r="D32" s="268"/>
    </row>
    <row r="33" ht="16.5" thickBot="1"/>
    <row r="34" spans="1:4" ht="32.25" thickBot="1">
      <c r="A34" s="3" t="s">
        <v>27</v>
      </c>
      <c r="B34" s="40" t="s">
        <v>28</v>
      </c>
      <c r="C34" s="40" t="s">
        <v>29</v>
      </c>
      <c r="D34" s="40" t="s">
        <v>10</v>
      </c>
    </row>
    <row r="35" spans="1:4" ht="16.5" thickBot="1">
      <c r="A35" s="4" t="s">
        <v>11</v>
      </c>
      <c r="B35" s="5" t="s">
        <v>30</v>
      </c>
      <c r="C35" s="6">
        <v>0.2</v>
      </c>
      <c r="D35" s="13">
        <f>C35*($C$19+$D$29)</f>
        <v>320.70568180000004</v>
      </c>
    </row>
    <row r="36" spans="1:4" ht="16.5" thickBot="1">
      <c r="A36" s="4" t="s">
        <v>12</v>
      </c>
      <c r="B36" s="5" t="s">
        <v>31</v>
      </c>
      <c r="C36" s="6">
        <v>0.025</v>
      </c>
      <c r="D36" s="13">
        <f aca="true" t="shared" si="0" ref="D36:D42">C36*($C$19+$D$29)</f>
        <v>40.088210225000005</v>
      </c>
    </row>
    <row r="37" spans="1:4" ht="16.5" thickBot="1">
      <c r="A37" s="32" t="s">
        <v>14</v>
      </c>
      <c r="B37" s="33" t="s">
        <v>76</v>
      </c>
      <c r="C37" s="59">
        <v>0.015</v>
      </c>
      <c r="D37" s="13">
        <f t="shared" si="0"/>
        <v>24.052926135</v>
      </c>
    </row>
    <row r="38" spans="1:4" ht="16.5" thickBot="1">
      <c r="A38" s="4" t="s">
        <v>16</v>
      </c>
      <c r="B38" s="5" t="s">
        <v>32</v>
      </c>
      <c r="C38" s="6">
        <v>0.015</v>
      </c>
      <c r="D38" s="13">
        <f t="shared" si="0"/>
        <v>24.052926135</v>
      </c>
    </row>
    <row r="39" spans="1:4" ht="16.5" thickBot="1">
      <c r="A39" s="4" t="s">
        <v>17</v>
      </c>
      <c r="B39" s="5" t="s">
        <v>33</v>
      </c>
      <c r="C39" s="6">
        <v>0.01</v>
      </c>
      <c r="D39" s="13">
        <f t="shared" si="0"/>
        <v>16.03528409</v>
      </c>
    </row>
    <row r="40" spans="1:4" ht="16.5" thickBot="1">
      <c r="A40" s="4" t="s">
        <v>18</v>
      </c>
      <c r="B40" s="5" t="s">
        <v>3</v>
      </c>
      <c r="C40" s="6">
        <v>0.006</v>
      </c>
      <c r="D40" s="13">
        <f t="shared" si="0"/>
        <v>9.621170454</v>
      </c>
    </row>
    <row r="41" spans="1:4" ht="16.5" thickBot="1">
      <c r="A41" s="4" t="s">
        <v>19</v>
      </c>
      <c r="B41" s="5" t="s">
        <v>4</v>
      </c>
      <c r="C41" s="6">
        <v>0.002</v>
      </c>
      <c r="D41" s="13">
        <f t="shared" si="0"/>
        <v>3.2070568180000003</v>
      </c>
    </row>
    <row r="42" spans="1:4" ht="16.5" thickBot="1">
      <c r="A42" s="4" t="s">
        <v>34</v>
      </c>
      <c r="B42" s="5" t="s">
        <v>5</v>
      </c>
      <c r="C42" s="6">
        <v>0.08</v>
      </c>
      <c r="D42" s="13">
        <f t="shared" si="0"/>
        <v>128.28227272</v>
      </c>
    </row>
    <row r="43" spans="1:4" ht="16.5" thickBot="1">
      <c r="A43" s="4" t="s">
        <v>77</v>
      </c>
      <c r="B43" s="5" t="s">
        <v>78</v>
      </c>
      <c r="C43" s="6"/>
      <c r="D43" s="13">
        <f>C43*$C$19</f>
        <v>0</v>
      </c>
    </row>
    <row r="44" spans="1:5" ht="16.5" thickBot="1">
      <c r="A44" s="266" t="s">
        <v>35</v>
      </c>
      <c r="B44" s="267"/>
      <c r="C44" s="61">
        <f>SUM(C35:C43)</f>
        <v>0.35300000000000004</v>
      </c>
      <c r="D44" s="21">
        <f>SUM(D35:D43)</f>
        <v>566.0455283770001</v>
      </c>
      <c r="E44"/>
    </row>
    <row r="45" spans="3:5" ht="15.75">
      <c r="C45" s="9" t="s">
        <v>81</v>
      </c>
      <c r="E45"/>
    </row>
    <row r="47" spans="1:3" ht="15.75">
      <c r="A47" s="265" t="s">
        <v>82</v>
      </c>
      <c r="B47" s="265"/>
      <c r="C47" s="265"/>
    </row>
    <row r="48" ht="16.5" thickBot="1"/>
    <row r="49" spans="1:3" ht="16.5" thickBot="1">
      <c r="A49" s="3" t="s">
        <v>36</v>
      </c>
      <c r="B49" s="40" t="s">
        <v>37</v>
      </c>
      <c r="C49" s="40" t="s">
        <v>10</v>
      </c>
    </row>
    <row r="50" spans="1:3" ht="16.5" thickBot="1">
      <c r="A50" s="4" t="s">
        <v>11</v>
      </c>
      <c r="B50" s="5" t="s">
        <v>38</v>
      </c>
      <c r="C50" s="13">
        <f>3.9*44-(6%*C8)</f>
        <v>85.0086</v>
      </c>
    </row>
    <row r="51" spans="1:3" ht="16.5" thickBot="1">
      <c r="A51" s="4" t="s">
        <v>12</v>
      </c>
      <c r="B51" s="5" t="s">
        <v>39</v>
      </c>
      <c r="C51" s="14">
        <v>0</v>
      </c>
    </row>
    <row r="52" spans="1:3" ht="16.5" thickBot="1">
      <c r="A52" s="4" t="s">
        <v>14</v>
      </c>
      <c r="B52" s="5" t="s">
        <v>180</v>
      </c>
      <c r="C52" s="14">
        <v>1</v>
      </c>
    </row>
    <row r="53" spans="1:3" ht="16.5" thickBot="1">
      <c r="A53" s="4" t="s">
        <v>16</v>
      </c>
      <c r="B53" s="5" t="s">
        <v>66</v>
      </c>
      <c r="C53" s="14">
        <v>110.16</v>
      </c>
    </row>
    <row r="54" spans="1:3" ht="16.5" thickBot="1">
      <c r="A54" s="4" t="s">
        <v>16</v>
      </c>
      <c r="B54" s="5" t="s">
        <v>178</v>
      </c>
      <c r="C54" s="14">
        <v>12.12</v>
      </c>
    </row>
    <row r="55" spans="1:3" ht="16.5" thickBot="1">
      <c r="A55" s="4" t="s">
        <v>16</v>
      </c>
      <c r="B55" s="5" t="s">
        <v>177</v>
      </c>
      <c r="C55" s="14">
        <v>4.47</v>
      </c>
    </row>
    <row r="56" spans="1:3" ht="16.5" thickBot="1">
      <c r="A56" s="266" t="s">
        <v>1</v>
      </c>
      <c r="B56" s="267"/>
      <c r="C56" s="36">
        <f>SUM(C50:C55)</f>
        <v>212.7586</v>
      </c>
    </row>
    <row r="57" ht="15.75">
      <c r="E57" s="26"/>
    </row>
    <row r="58" spans="1:3" ht="15.75">
      <c r="A58" s="269" t="s">
        <v>40</v>
      </c>
      <c r="B58" s="269"/>
      <c r="C58" s="269"/>
    </row>
    <row r="59" ht="16.5" thickBot="1"/>
    <row r="60" spans="1:3" ht="16.5" thickBot="1">
      <c r="A60" s="3">
        <v>2</v>
      </c>
      <c r="B60" s="40" t="s">
        <v>41</v>
      </c>
      <c r="C60" s="40" t="s">
        <v>10</v>
      </c>
    </row>
    <row r="61" spans="1:3" ht="16.5" thickBot="1">
      <c r="A61" s="4" t="s">
        <v>23</v>
      </c>
      <c r="B61" s="5" t="s">
        <v>24</v>
      </c>
      <c r="C61" s="34">
        <f>D29</f>
        <v>160.338409</v>
      </c>
    </row>
    <row r="62" spans="1:3" ht="16.5" thickBot="1">
      <c r="A62" s="4" t="s">
        <v>27</v>
      </c>
      <c r="B62" s="5" t="s">
        <v>28</v>
      </c>
      <c r="C62" s="34">
        <f>D44</f>
        <v>566.0455283770001</v>
      </c>
    </row>
    <row r="63" spans="1:3" ht="16.5" thickBot="1">
      <c r="A63" s="4" t="s">
        <v>36</v>
      </c>
      <c r="B63" s="5" t="s">
        <v>37</v>
      </c>
      <c r="C63" s="35">
        <f>C56</f>
        <v>212.7586</v>
      </c>
    </row>
    <row r="64" spans="1:5" ht="16.5" thickBot="1">
      <c r="A64" s="266" t="s">
        <v>1</v>
      </c>
      <c r="B64" s="267"/>
      <c r="C64" s="21">
        <f>SUM(C61:C63)</f>
        <v>939.1425373770002</v>
      </c>
      <c r="E64" s="16"/>
    </row>
    <row r="65" ht="15.75">
      <c r="A65" s="1"/>
    </row>
    <row r="67" spans="1:3" ht="18.75">
      <c r="A67" s="272" t="s">
        <v>42</v>
      </c>
      <c r="B67" s="272"/>
      <c r="C67" s="272"/>
    </row>
    <row r="68" ht="16.5" thickBot="1"/>
    <row r="69" spans="1:4" ht="32.25" thickBot="1">
      <c r="A69" s="3">
        <v>3</v>
      </c>
      <c r="B69" s="40" t="s">
        <v>43</v>
      </c>
      <c r="C69" s="3" t="s">
        <v>29</v>
      </c>
      <c r="D69" s="40" t="s">
        <v>10</v>
      </c>
    </row>
    <row r="70" spans="1:4" ht="33" customHeight="1" thickBot="1">
      <c r="A70" s="4" t="s">
        <v>11</v>
      </c>
      <c r="B70" s="7" t="s">
        <v>103</v>
      </c>
      <c r="C70" s="69">
        <f>(1/12)*5%</f>
        <v>0.004166666666666667</v>
      </c>
      <c r="D70" s="13">
        <f>C70*($C$19)</f>
        <v>6.0132916666666665</v>
      </c>
    </row>
    <row r="71" spans="1:4" ht="16.5" thickBot="1">
      <c r="A71" s="4" t="s">
        <v>12</v>
      </c>
      <c r="B71" s="7" t="s">
        <v>44</v>
      </c>
      <c r="C71" s="69">
        <f>C70*8%</f>
        <v>0.0003333333333333333</v>
      </c>
      <c r="D71" s="13">
        <f>C71*($C$19)</f>
        <v>0.48106333333333334</v>
      </c>
    </row>
    <row r="72" spans="1:4" ht="16.5" thickBot="1">
      <c r="A72" s="4" t="s">
        <v>14</v>
      </c>
      <c r="B72" s="28" t="s">
        <v>104</v>
      </c>
      <c r="C72" s="191">
        <v>0.032</v>
      </c>
      <c r="D72" s="13">
        <f>C72*($C$19)</f>
        <v>46.182080000000006</v>
      </c>
    </row>
    <row r="73" spans="1:4" ht="16.5" thickBot="1">
      <c r="A73" s="4" t="s">
        <v>16</v>
      </c>
      <c r="B73" s="7" t="s">
        <v>45</v>
      </c>
      <c r="C73" s="65">
        <f>((7/30)/12)</f>
        <v>0.019444444444444445</v>
      </c>
      <c r="D73" s="13">
        <f>C73*($C$19)</f>
        <v>28.06202777777778</v>
      </c>
    </row>
    <row r="74" spans="1:4" ht="38.25" customHeight="1" thickBot="1">
      <c r="A74" s="4" t="s">
        <v>17</v>
      </c>
      <c r="B74" s="7" t="s">
        <v>46</v>
      </c>
      <c r="C74" s="70">
        <v>0.00657</v>
      </c>
      <c r="D74" s="13">
        <f>C74*($C$19)</f>
        <v>9.481758300000001</v>
      </c>
    </row>
    <row r="75" spans="1:5" ht="24" customHeight="1" thickBot="1">
      <c r="A75" s="4" t="s">
        <v>18</v>
      </c>
      <c r="B75" s="7" t="s">
        <v>83</v>
      </c>
      <c r="C75" s="65">
        <v>0.00062</v>
      </c>
      <c r="D75" s="13">
        <f>C75*($C$19)</f>
        <v>0.8947778000000001</v>
      </c>
      <c r="E75" s="29"/>
    </row>
    <row r="76" spans="1:6" ht="16.5" thickBot="1">
      <c r="A76" s="266" t="s">
        <v>1</v>
      </c>
      <c r="B76" s="267"/>
      <c r="C76" s="66">
        <f>SUM(C70:C75)</f>
        <v>0.06313444444444444</v>
      </c>
      <c r="D76" s="21">
        <f>SUM(D70:D75)</f>
        <v>91.11499887777778</v>
      </c>
      <c r="E76"/>
      <c r="F76" s="16"/>
    </row>
    <row r="77" ht="15.75">
      <c r="E77"/>
    </row>
    <row r="78" ht="15.75">
      <c r="F78" s="16"/>
    </row>
    <row r="79" spans="1:3" ht="18.75">
      <c r="A79" s="272" t="s">
        <v>47</v>
      </c>
      <c r="B79" s="272"/>
      <c r="C79" s="272"/>
    </row>
    <row r="82" spans="1:3" ht="15.75">
      <c r="A82" s="265" t="s">
        <v>48</v>
      </c>
      <c r="B82" s="265"/>
      <c r="C82" s="265"/>
    </row>
    <row r="83" ht="16.5" thickBot="1">
      <c r="A83" s="2"/>
    </row>
    <row r="84" spans="1:7" ht="32.25" thickBot="1">
      <c r="A84" s="3" t="s">
        <v>49</v>
      </c>
      <c r="B84" s="40" t="s">
        <v>50</v>
      </c>
      <c r="C84" s="3" t="s">
        <v>29</v>
      </c>
      <c r="D84" s="40" t="s">
        <v>10</v>
      </c>
      <c r="F84"/>
      <c r="G84"/>
    </row>
    <row r="85" spans="1:7" ht="16.5" thickBot="1">
      <c r="A85" s="4" t="s">
        <v>11</v>
      </c>
      <c r="B85" s="5" t="s">
        <v>2</v>
      </c>
      <c r="C85" s="74">
        <f>1/12</f>
        <v>0.08333333333333333</v>
      </c>
      <c r="D85" s="13">
        <f>C85*($C$19)</f>
        <v>120.26583333333333</v>
      </c>
      <c r="F85"/>
      <c r="G85"/>
    </row>
    <row r="86" spans="1:7" ht="16.5" thickBot="1">
      <c r="A86" s="31" t="s">
        <v>12</v>
      </c>
      <c r="B86" s="30" t="s">
        <v>84</v>
      </c>
      <c r="C86" s="75">
        <f>((3/30)/12)</f>
        <v>0.008333333333333333</v>
      </c>
      <c r="D86" s="13">
        <f aca="true" t="shared" si="1" ref="D86:D95">C86*$C$19</f>
        <v>12.026583333333333</v>
      </c>
      <c r="F86"/>
      <c r="G86"/>
    </row>
    <row r="87" spans="1:7" ht="16.5" thickBot="1">
      <c r="A87" s="4" t="s">
        <v>14</v>
      </c>
      <c r="B87" s="5" t="s">
        <v>106</v>
      </c>
      <c r="C87" s="75">
        <v>0.0015</v>
      </c>
      <c r="D87" s="13">
        <f t="shared" si="1"/>
        <v>2.164785</v>
      </c>
      <c r="F87"/>
      <c r="G87"/>
    </row>
    <row r="88" spans="1:7" ht="16.5" thickBot="1">
      <c r="A88" s="4" t="s">
        <v>16</v>
      </c>
      <c r="B88" s="5" t="s">
        <v>85</v>
      </c>
      <c r="C88" s="75">
        <f>(5/30)*50%*10%*11.11%</f>
        <v>0.0009258333333333332</v>
      </c>
      <c r="D88" s="13">
        <f t="shared" si="1"/>
        <v>1.3361534083333333</v>
      </c>
      <c r="F88"/>
      <c r="G88"/>
    </row>
    <row r="89" spans="1:7" ht="16.5" thickBot="1">
      <c r="A89" s="4" t="s">
        <v>17</v>
      </c>
      <c r="B89" s="5" t="s">
        <v>87</v>
      </c>
      <c r="C89" s="75">
        <v>0.0002</v>
      </c>
      <c r="D89" s="13">
        <f t="shared" si="1"/>
        <v>0.288638</v>
      </c>
      <c r="F89"/>
      <c r="G89"/>
    </row>
    <row r="90" spans="1:7" ht="16.5" thickBot="1">
      <c r="A90" s="4" t="s">
        <v>18</v>
      </c>
      <c r="B90" s="5" t="s">
        <v>86</v>
      </c>
      <c r="C90" s="75">
        <v>0.0003</v>
      </c>
      <c r="D90" s="13">
        <f t="shared" si="1"/>
        <v>0.432957</v>
      </c>
      <c r="F90"/>
      <c r="G90"/>
    </row>
    <row r="91" spans="1:7" ht="16.5" thickBot="1">
      <c r="A91" s="4" t="s">
        <v>19</v>
      </c>
      <c r="B91" s="5" t="s">
        <v>20</v>
      </c>
      <c r="C91" s="73"/>
      <c r="D91" s="13">
        <f t="shared" si="1"/>
        <v>0</v>
      </c>
      <c r="F91"/>
      <c r="G91"/>
    </row>
    <row r="92" spans="1:7" ht="16.5" thickBot="1">
      <c r="A92" s="266" t="s">
        <v>35</v>
      </c>
      <c r="B92" s="267"/>
      <c r="C92" s="76">
        <f>SUM(C85:C91)</f>
        <v>0.0945925</v>
      </c>
      <c r="D92" s="21">
        <f>SUM(D85:D91)</f>
        <v>136.51495007499997</v>
      </c>
      <c r="F92"/>
      <c r="G92"/>
    </row>
    <row r="93" spans="1:7" ht="32.25" thickBot="1">
      <c r="A93" s="4" t="s">
        <v>34</v>
      </c>
      <c r="B93" s="5" t="s">
        <v>79</v>
      </c>
      <c r="C93" s="77">
        <f>(C92-C90)*(1/12+1/12+(1/12*1/3))</f>
        <v>0.018334652777777776</v>
      </c>
      <c r="D93" s="13">
        <f t="shared" si="1"/>
        <v>26.46038754236111</v>
      </c>
      <c r="F93"/>
      <c r="G93"/>
    </row>
    <row r="94" spans="1:7" ht="16.5" thickBot="1">
      <c r="A94" s="266" t="s">
        <v>35</v>
      </c>
      <c r="B94" s="267"/>
      <c r="C94" s="76">
        <f>C92+C93</f>
        <v>0.11292715277777778</v>
      </c>
      <c r="D94" s="21">
        <f>D92+D93</f>
        <v>162.97533761736108</v>
      </c>
      <c r="F94"/>
      <c r="G94"/>
    </row>
    <row r="95" spans="1:7" ht="16.5" thickBot="1">
      <c r="A95" s="32" t="s">
        <v>77</v>
      </c>
      <c r="B95" s="33" t="s">
        <v>80</v>
      </c>
      <c r="C95" s="187">
        <v>0.03978</v>
      </c>
      <c r="D95" s="34">
        <f t="shared" si="1"/>
        <v>57.41009820000001</v>
      </c>
      <c r="F95"/>
      <c r="G95"/>
    </row>
    <row r="96" spans="1:7" ht="16.5" thickBot="1">
      <c r="A96" s="277"/>
      <c r="B96" s="278"/>
      <c r="C96" s="76">
        <f>C94+C95</f>
        <v>0.15270715277777777</v>
      </c>
      <c r="D96" s="21">
        <f>D94+D95</f>
        <v>220.3854358173611</v>
      </c>
      <c r="E96"/>
      <c r="F96"/>
      <c r="G96"/>
    </row>
    <row r="97" spans="2:3" ht="15.75">
      <c r="B97" s="23"/>
      <c r="C97" s="20"/>
    </row>
    <row r="98" spans="1:3" ht="15.75">
      <c r="A98" s="269" t="s">
        <v>51</v>
      </c>
      <c r="B98" s="269"/>
      <c r="C98" s="269"/>
    </row>
    <row r="99" ht="16.5" thickBot="1">
      <c r="A99" s="2"/>
    </row>
    <row r="100" spans="1:7" ht="16.5" thickBot="1">
      <c r="A100" s="3">
        <v>4</v>
      </c>
      <c r="B100" s="40" t="s">
        <v>52</v>
      </c>
      <c r="C100" s="40" t="s">
        <v>10</v>
      </c>
      <c r="D100"/>
      <c r="E100"/>
      <c r="F100"/>
      <c r="G100"/>
    </row>
    <row r="101" spans="1:7" ht="16.5" thickBot="1">
      <c r="A101" s="4" t="s">
        <v>49</v>
      </c>
      <c r="B101" s="5" t="s">
        <v>50</v>
      </c>
      <c r="C101" s="13">
        <f>D96</f>
        <v>220.3854358173611</v>
      </c>
      <c r="D101"/>
      <c r="E101"/>
      <c r="F101"/>
      <c r="G101"/>
    </row>
    <row r="102" spans="1:7" ht="16.5" thickBot="1">
      <c r="A102" s="266" t="s">
        <v>1</v>
      </c>
      <c r="B102" s="267"/>
      <c r="C102" s="21">
        <f>SUM(C101:C101)</f>
        <v>220.3854358173611</v>
      </c>
      <c r="D102"/>
      <c r="E102"/>
      <c r="F102"/>
      <c r="G102"/>
    </row>
    <row r="103" spans="4:7" ht="15.75">
      <c r="D103"/>
      <c r="E103"/>
      <c r="F103"/>
      <c r="G103"/>
    </row>
    <row r="104" spans="4:7" ht="15.75">
      <c r="D104"/>
      <c r="E104"/>
      <c r="F104"/>
      <c r="G104"/>
    </row>
    <row r="105" spans="1:7" ht="18.75">
      <c r="A105" s="272" t="s">
        <v>53</v>
      </c>
      <c r="B105" s="272"/>
      <c r="C105" s="272"/>
      <c r="D105"/>
      <c r="E105"/>
      <c r="F105"/>
      <c r="G105"/>
    </row>
    <row r="106" spans="4:7" ht="16.5" thickBot="1">
      <c r="D106"/>
      <c r="E106"/>
      <c r="F106"/>
      <c r="G106"/>
    </row>
    <row r="107" spans="1:3" ht="16.5" thickBot="1">
      <c r="A107" s="3">
        <v>5</v>
      </c>
      <c r="B107" s="8" t="s">
        <v>6</v>
      </c>
      <c r="C107" s="40" t="s">
        <v>10</v>
      </c>
    </row>
    <row r="108" spans="1:3" ht="16.5" thickBot="1">
      <c r="A108" s="4" t="s">
        <v>11</v>
      </c>
      <c r="B108" s="5" t="s">
        <v>54</v>
      </c>
      <c r="C108" s="11">
        <v>5</v>
      </c>
    </row>
    <row r="109" spans="1:3" ht="16.5" thickBot="1">
      <c r="A109" s="4" t="s">
        <v>12</v>
      </c>
      <c r="B109" s="5" t="s">
        <v>55</v>
      </c>
      <c r="C109" s="11"/>
    </row>
    <row r="110" spans="1:3" ht="16.5" thickBot="1">
      <c r="A110" s="4" t="s">
        <v>14</v>
      </c>
      <c r="B110" s="5" t="s">
        <v>56</v>
      </c>
      <c r="C110" s="11"/>
    </row>
    <row r="111" spans="1:3" ht="16.5" thickBot="1">
      <c r="A111" s="4" t="s">
        <v>16</v>
      </c>
      <c r="B111" s="5" t="s">
        <v>20</v>
      </c>
      <c r="C111" s="11"/>
    </row>
    <row r="112" spans="1:6" ht="16.5" thickBot="1">
      <c r="A112" s="266" t="s">
        <v>35</v>
      </c>
      <c r="B112" s="267"/>
      <c r="C112" s="21">
        <f>SUM(C108:C111)</f>
        <v>5</v>
      </c>
      <c r="E112"/>
      <c r="F112"/>
    </row>
    <row r="113" spans="1:6" ht="15.75">
      <c r="A113" s="17"/>
      <c r="B113" s="17"/>
      <c r="C113" s="18"/>
      <c r="E113"/>
      <c r="F113"/>
    </row>
    <row r="114" spans="1:6" ht="15.75">
      <c r="A114" s="269" t="s">
        <v>68</v>
      </c>
      <c r="B114" s="269"/>
      <c r="C114" s="269"/>
      <c r="D114" s="22">
        <f>C19+C64+D76+C102+C112</f>
        <v>2698.8329720721395</v>
      </c>
      <c r="E114"/>
      <c r="F114"/>
    </row>
    <row r="115" spans="1:6" ht="15.75">
      <c r="A115" s="67"/>
      <c r="B115" s="67"/>
      <c r="C115" s="67"/>
      <c r="D115" s="68"/>
      <c r="E115"/>
      <c r="F115"/>
    </row>
    <row r="116" spans="5:6" ht="15.75">
      <c r="E116"/>
      <c r="F116"/>
    </row>
    <row r="117" spans="1:6" ht="18.75">
      <c r="A117" s="272" t="s">
        <v>57</v>
      </c>
      <c r="B117" s="272"/>
      <c r="C117" s="272"/>
      <c r="E117"/>
      <c r="F117"/>
    </row>
    <row r="118" spans="5:6" ht="16.5" thickBot="1">
      <c r="E118"/>
      <c r="F118"/>
    </row>
    <row r="119" spans="1:6" ht="32.25" thickBot="1">
      <c r="A119" s="3">
        <v>6</v>
      </c>
      <c r="B119" s="8" t="s">
        <v>95</v>
      </c>
      <c r="C119" s="40" t="s">
        <v>29</v>
      </c>
      <c r="D119" s="40" t="s">
        <v>10</v>
      </c>
      <c r="E119"/>
      <c r="F119"/>
    </row>
    <row r="120" spans="1:6" ht="16.5" thickBot="1">
      <c r="A120" s="4" t="s">
        <v>11</v>
      </c>
      <c r="B120" s="5" t="s">
        <v>67</v>
      </c>
      <c r="C120" s="64">
        <v>0.0006</v>
      </c>
      <c r="D120" s="13">
        <f>C120*$D$114</f>
        <v>1.6192997832432836</v>
      </c>
      <c r="E120"/>
      <c r="F120"/>
    </row>
    <row r="121" spans="1:6" ht="16.5" thickBot="1">
      <c r="A121" s="4" t="s">
        <v>12</v>
      </c>
      <c r="B121" s="5" t="s">
        <v>7</v>
      </c>
      <c r="C121" s="64">
        <v>0.001</v>
      </c>
      <c r="D121" s="13">
        <f>C121*$D$114</f>
        <v>2.6988329720721396</v>
      </c>
      <c r="E121"/>
      <c r="F121"/>
    </row>
    <row r="122" spans="1:6" ht="16.5" thickBot="1">
      <c r="A122" s="51"/>
      <c r="B122" s="45" t="s">
        <v>100</v>
      </c>
      <c r="C122" s="50"/>
      <c r="D122" s="56">
        <f>D120+D121</f>
        <v>4.318132755315423</v>
      </c>
      <c r="E122"/>
      <c r="F122"/>
    </row>
    <row r="123" spans="1:6" ht="16.5" thickBot="1">
      <c r="A123" s="44"/>
      <c r="B123" s="52"/>
      <c r="C123" s="53"/>
      <c r="D123" s="60"/>
      <c r="E123"/>
      <c r="F123"/>
    </row>
    <row r="124" spans="1:7" ht="32.25" thickBot="1">
      <c r="A124" s="44"/>
      <c r="B124" s="45" t="s">
        <v>91</v>
      </c>
      <c r="C124" s="50"/>
      <c r="D124" s="56">
        <f>D114+D122</f>
        <v>2703.1511048274547</v>
      </c>
      <c r="E124"/>
      <c r="F124" s="39"/>
      <c r="G124" s="16"/>
    </row>
    <row r="125" spans="1:7" ht="16.5" thickBot="1">
      <c r="A125" s="46"/>
      <c r="B125" s="47" t="s">
        <v>93</v>
      </c>
      <c r="C125" s="55">
        <f>100%-C128</f>
        <v>0.9135</v>
      </c>
      <c r="D125" s="43"/>
      <c r="E125"/>
      <c r="F125" s="39"/>
      <c r="G125" s="16"/>
    </row>
    <row r="126" spans="1:7" ht="16.5" thickBot="1">
      <c r="A126" s="48"/>
      <c r="B126" s="12" t="s">
        <v>94</v>
      </c>
      <c r="C126" s="50"/>
      <c r="D126" s="49">
        <f>D124/C125</f>
        <v>2959.1145099370056</v>
      </c>
      <c r="E126" s="39"/>
      <c r="F126" s="39"/>
      <c r="G126" s="16"/>
    </row>
    <row r="127" spans="1:7" ht="16.5" thickBot="1">
      <c r="A127" s="51"/>
      <c r="B127" s="52"/>
      <c r="C127" s="53"/>
      <c r="D127" s="54"/>
      <c r="E127" s="39"/>
      <c r="F127" s="39"/>
      <c r="G127" s="16"/>
    </row>
    <row r="128" spans="1:6" ht="16.5" thickBot="1">
      <c r="A128" s="4" t="s">
        <v>14</v>
      </c>
      <c r="B128" s="5" t="s">
        <v>92</v>
      </c>
      <c r="C128" s="79">
        <f>C129+C130+C131</f>
        <v>0.0865</v>
      </c>
      <c r="D128" s="57">
        <f>D129+D130+D131</f>
        <v>255.963405109551</v>
      </c>
      <c r="E128"/>
      <c r="F128" s="42"/>
    </row>
    <row r="129" spans="1:6" ht="16.5" thickBot="1">
      <c r="A129" s="4"/>
      <c r="B129" s="5" t="s">
        <v>96</v>
      </c>
      <c r="C129" s="25">
        <f>0.65%+3%</f>
        <v>0.0365</v>
      </c>
      <c r="D129" s="13">
        <f>C129*D126</f>
        <v>108.0076796127007</v>
      </c>
      <c r="E129"/>
      <c r="F129" s="39"/>
    </row>
    <row r="130" spans="1:6" ht="16.5" thickBot="1">
      <c r="A130" s="4"/>
      <c r="B130" s="5" t="s">
        <v>97</v>
      </c>
      <c r="C130" s="24">
        <v>0</v>
      </c>
      <c r="D130" s="13">
        <f>C130*D126</f>
        <v>0</v>
      </c>
      <c r="E130"/>
      <c r="F130" s="39"/>
    </row>
    <row r="131" spans="1:13" ht="16.5" thickBot="1">
      <c r="A131" s="4"/>
      <c r="B131" s="5" t="s">
        <v>98</v>
      </c>
      <c r="C131" s="25">
        <v>0.05</v>
      </c>
      <c r="D131" s="13">
        <f>C131*D126</f>
        <v>147.95572549685028</v>
      </c>
      <c r="E131"/>
      <c r="F131"/>
      <c r="H131"/>
      <c r="I131"/>
      <c r="J131"/>
      <c r="K131"/>
      <c r="L131"/>
      <c r="M131"/>
    </row>
    <row r="132" spans="1:13" ht="16.5" thickBot="1">
      <c r="A132" s="266" t="s">
        <v>99</v>
      </c>
      <c r="B132" s="267"/>
      <c r="C132" s="58">
        <v>1</v>
      </c>
      <c r="D132" s="56">
        <f>D124+D128</f>
        <v>2959.1145099370056</v>
      </c>
      <c r="E132" s="188">
        <v>2878.33</v>
      </c>
      <c r="F132" s="189" t="s">
        <v>167</v>
      </c>
      <c r="H132"/>
      <c r="I132"/>
      <c r="J132"/>
      <c r="K132"/>
      <c r="L132"/>
      <c r="M132"/>
    </row>
    <row r="133" spans="5:13" ht="15.75">
      <c r="E133" s="188">
        <f>E132-D132</f>
        <v>-80.78450993700562</v>
      </c>
      <c r="F133" s="190"/>
      <c r="H133"/>
      <c r="I133"/>
      <c r="J133"/>
      <c r="K133"/>
      <c r="L133"/>
      <c r="M133"/>
    </row>
    <row r="134" spans="5:13" ht="15.75">
      <c r="E134" s="78"/>
      <c r="H134"/>
      <c r="I134"/>
      <c r="J134"/>
      <c r="K134"/>
      <c r="L134"/>
      <c r="M134"/>
    </row>
    <row r="135" spans="1:13" ht="18.75">
      <c r="A135" s="273" t="s">
        <v>101</v>
      </c>
      <c r="B135" s="273"/>
      <c r="C135" s="273"/>
      <c r="H135"/>
      <c r="I135"/>
      <c r="J135"/>
      <c r="K135"/>
      <c r="L135"/>
      <c r="M135"/>
    </row>
    <row r="136" spans="8:13" ht="16.5" thickBot="1">
      <c r="H136"/>
      <c r="I136"/>
      <c r="J136"/>
      <c r="K136"/>
      <c r="L136"/>
      <c r="M136"/>
    </row>
    <row r="137" spans="1:13" ht="32.25" thickBot="1">
      <c r="A137" s="3"/>
      <c r="B137" s="40" t="s">
        <v>58</v>
      </c>
      <c r="C137" s="40" t="s">
        <v>10</v>
      </c>
      <c r="D137" s="82" t="s">
        <v>116</v>
      </c>
      <c r="E137" s="87" t="s">
        <v>117</v>
      </c>
      <c r="H137"/>
      <c r="I137"/>
      <c r="J137"/>
      <c r="K137"/>
      <c r="L137"/>
      <c r="M137"/>
    </row>
    <row r="138" spans="1:13" ht="16.5" thickBot="1">
      <c r="A138" s="10" t="s">
        <v>11</v>
      </c>
      <c r="B138" s="5" t="s">
        <v>8</v>
      </c>
      <c r="C138" s="15">
        <f>C19</f>
        <v>1443.19</v>
      </c>
      <c r="D138" s="81">
        <v>2630.12</v>
      </c>
      <c r="E138" s="88"/>
      <c r="H138"/>
      <c r="I138"/>
      <c r="J138"/>
      <c r="K138"/>
      <c r="L138"/>
      <c r="M138"/>
    </row>
    <row r="139" spans="1:13" ht="32.25" thickBot="1">
      <c r="A139" s="10" t="s">
        <v>12</v>
      </c>
      <c r="B139" s="5" t="s">
        <v>21</v>
      </c>
      <c r="C139" s="15">
        <f>C64</f>
        <v>939.1425373770002</v>
      </c>
      <c r="D139" s="80">
        <f>928.43+601.99-2.85</f>
        <v>1527.5700000000002</v>
      </c>
      <c r="E139" s="89"/>
      <c r="F139" s="16"/>
      <c r="G139" s="16"/>
      <c r="H139"/>
      <c r="I139"/>
      <c r="J139"/>
      <c r="K139"/>
      <c r="L139"/>
      <c r="M139"/>
    </row>
    <row r="140" spans="1:13" ht="16.5" thickBot="1">
      <c r="A140" s="10" t="s">
        <v>14</v>
      </c>
      <c r="B140" s="5" t="s">
        <v>42</v>
      </c>
      <c r="C140" s="15">
        <f>D76</f>
        <v>91.11499887777778</v>
      </c>
      <c r="D140" s="80">
        <v>119.14</v>
      </c>
      <c r="E140" s="89"/>
      <c r="F140" s="16"/>
      <c r="G140" s="16"/>
      <c r="H140"/>
      <c r="I140"/>
      <c r="J140"/>
      <c r="K140"/>
      <c r="L140"/>
      <c r="M140"/>
    </row>
    <row r="141" spans="1:13" ht="16.5" thickBot="1">
      <c r="A141" s="10" t="s">
        <v>16</v>
      </c>
      <c r="B141" s="5" t="s">
        <v>47</v>
      </c>
      <c r="C141" s="15">
        <f>C102</f>
        <v>220.3854358173611</v>
      </c>
      <c r="D141" s="80">
        <v>828.08</v>
      </c>
      <c r="E141" s="89"/>
      <c r="G141" s="16"/>
      <c r="H141"/>
      <c r="I141"/>
      <c r="J141"/>
      <c r="K141"/>
      <c r="L141"/>
      <c r="M141"/>
    </row>
    <row r="142" spans="1:13" ht="16.5" thickBot="1">
      <c r="A142" s="10" t="s">
        <v>17</v>
      </c>
      <c r="B142" s="5" t="s">
        <v>53</v>
      </c>
      <c r="C142" s="15">
        <f>C112</f>
        <v>5</v>
      </c>
      <c r="D142" s="80">
        <v>2.85</v>
      </c>
      <c r="E142" s="89"/>
      <c r="H142"/>
      <c r="I142"/>
      <c r="J142"/>
      <c r="K142"/>
      <c r="L142"/>
      <c r="M142"/>
    </row>
    <row r="143" spans="1:13" ht="16.5" thickBot="1">
      <c r="A143" s="266" t="s">
        <v>59</v>
      </c>
      <c r="B143" s="267"/>
      <c r="C143" s="19">
        <f>SUM(C138:C142)</f>
        <v>2698.8329720721395</v>
      </c>
      <c r="D143" s="80">
        <f>SUM(D138:D142)</f>
        <v>5107.760000000001</v>
      </c>
      <c r="E143" s="89"/>
      <c r="H143"/>
      <c r="I143"/>
      <c r="J143"/>
      <c r="K143"/>
      <c r="L143"/>
      <c r="M143"/>
    </row>
    <row r="144" spans="1:13" ht="16.5" thickBot="1">
      <c r="A144" s="10" t="s">
        <v>18</v>
      </c>
      <c r="B144" s="5" t="s">
        <v>60</v>
      </c>
      <c r="C144" s="15">
        <f>D122+D128</f>
        <v>260.28153786486644</v>
      </c>
      <c r="D144" s="83">
        <f>484.78+11.75</f>
        <v>496.53</v>
      </c>
      <c r="E144" s="90"/>
      <c r="G144" s="16"/>
      <c r="H144"/>
      <c r="I144"/>
      <c r="J144"/>
      <c r="K144"/>
      <c r="L144"/>
      <c r="M144"/>
    </row>
    <row r="145" spans="1:10" ht="16.5" thickBot="1">
      <c r="A145" s="266" t="s">
        <v>61</v>
      </c>
      <c r="B145" s="267"/>
      <c r="C145" s="84">
        <f>SUM(C143+C144)</f>
        <v>2959.114509937006</v>
      </c>
      <c r="D145" s="85">
        <f>D143+D144</f>
        <v>5604.290000000001</v>
      </c>
      <c r="E145" s="86">
        <f>D145-C145</f>
        <v>2645.175490062995</v>
      </c>
      <c r="F145" s="16"/>
      <c r="G145" s="16"/>
      <c r="J145" s="78"/>
    </row>
    <row r="147" spans="1:2" ht="15.75">
      <c r="A147" s="38" t="s">
        <v>90</v>
      </c>
      <c r="B147" s="27"/>
    </row>
    <row r="149" spans="1:6" ht="33" customHeight="1">
      <c r="A149" s="274" t="s">
        <v>89</v>
      </c>
      <c r="B149" s="274"/>
      <c r="C149" s="274"/>
      <c r="D149" s="274"/>
      <c r="E149" s="274"/>
      <c r="F149" s="274"/>
    </row>
    <row r="150" spans="1:6" ht="30" customHeight="1">
      <c r="A150" s="62"/>
      <c r="B150" s="274" t="s">
        <v>109</v>
      </c>
      <c r="C150" s="274"/>
      <c r="D150" s="274"/>
      <c r="E150" s="274"/>
      <c r="F150" s="274"/>
    </row>
    <row r="151" spans="1:6" ht="28.5" customHeight="1">
      <c r="A151" s="62"/>
      <c r="B151" s="274" t="s">
        <v>110</v>
      </c>
      <c r="C151" s="274"/>
      <c r="D151" s="274"/>
      <c r="E151" s="274"/>
      <c r="F151" s="274"/>
    </row>
    <row r="152" spans="1:6" ht="33" customHeight="1">
      <c r="A152" s="62"/>
      <c r="B152" s="274" t="s">
        <v>111</v>
      </c>
      <c r="C152" s="274"/>
      <c r="D152" s="274"/>
      <c r="E152" s="274"/>
      <c r="F152" s="274"/>
    </row>
    <row r="153" spans="1:6" ht="33" customHeight="1">
      <c r="A153" s="62"/>
      <c r="B153" s="274" t="s">
        <v>112</v>
      </c>
      <c r="C153" s="274"/>
      <c r="D153" s="274"/>
      <c r="E153" s="274"/>
      <c r="F153" s="274"/>
    </row>
    <row r="154" spans="1:6" ht="15.75">
      <c r="A154" s="62"/>
      <c r="B154" s="274" t="s">
        <v>105</v>
      </c>
      <c r="C154" s="274"/>
      <c r="D154" s="274"/>
      <c r="E154" s="274"/>
      <c r="F154" s="274"/>
    </row>
    <row r="155" spans="1:6" ht="30" customHeight="1">
      <c r="A155" s="62"/>
      <c r="B155" s="274" t="s">
        <v>108</v>
      </c>
      <c r="C155" s="274"/>
      <c r="D155" s="274"/>
      <c r="E155" s="274"/>
      <c r="F155" s="274"/>
    </row>
    <row r="156" spans="1:6" ht="32.25" customHeight="1">
      <c r="A156" s="62"/>
      <c r="B156" s="274" t="s">
        <v>113</v>
      </c>
      <c r="C156" s="274"/>
      <c r="D156" s="274"/>
      <c r="E156" s="274"/>
      <c r="F156" s="274"/>
    </row>
    <row r="157" spans="1:6" ht="15.75">
      <c r="A157" s="62"/>
      <c r="B157" s="274" t="s">
        <v>107</v>
      </c>
      <c r="C157" s="274"/>
      <c r="D157" s="274"/>
      <c r="E157" s="274"/>
      <c r="F157" s="274"/>
    </row>
    <row r="158" spans="1:6" ht="30.75" customHeight="1">
      <c r="A158" s="62"/>
      <c r="B158" s="274" t="s">
        <v>114</v>
      </c>
      <c r="C158" s="274"/>
      <c r="D158" s="274"/>
      <c r="E158" s="274"/>
      <c r="F158" s="274"/>
    </row>
    <row r="159" spans="1:5" ht="35.25" customHeight="1">
      <c r="A159" s="280" t="s">
        <v>102</v>
      </c>
      <c r="B159" s="280"/>
      <c r="C159" s="280"/>
      <c r="D159" s="280"/>
      <c r="E159" s="63"/>
    </row>
    <row r="160" spans="1:5" ht="54" customHeight="1">
      <c r="A160" s="280" t="s">
        <v>88</v>
      </c>
      <c r="B160" s="280"/>
      <c r="C160" s="280"/>
      <c r="D160" s="280"/>
      <c r="E160" s="63"/>
    </row>
    <row r="161" spans="1:5" ht="49.5" customHeight="1">
      <c r="A161" s="280" t="s">
        <v>115</v>
      </c>
      <c r="B161" s="280"/>
      <c r="C161" s="280"/>
      <c r="D161" s="280"/>
      <c r="E161" s="63"/>
    </row>
    <row r="162" spans="1:5" ht="34.5" customHeight="1">
      <c r="A162" s="281"/>
      <c r="B162" s="281"/>
      <c r="C162" s="281"/>
      <c r="D162" s="281"/>
      <c r="E162" s="63"/>
    </row>
    <row r="163" spans="1:3" ht="15.75">
      <c r="A163"/>
      <c r="B163"/>
      <c r="C163"/>
    </row>
    <row r="164" spans="1:3" ht="15.75">
      <c r="A164"/>
      <c r="B164"/>
      <c r="C164"/>
    </row>
    <row r="165" spans="1:3" ht="15.75">
      <c r="A165"/>
      <c r="B165"/>
      <c r="C165"/>
    </row>
    <row r="166" spans="1:4" ht="15.75">
      <c r="A166"/>
      <c r="B166"/>
      <c r="C166"/>
      <c r="D166"/>
    </row>
    <row r="167" spans="1:3" ht="15.75">
      <c r="A167"/>
      <c r="B167"/>
      <c r="C167"/>
    </row>
  </sheetData>
  <sheetProtection/>
  <mergeCells count="45">
    <mergeCell ref="A159:D159"/>
    <mergeCell ref="A160:D160"/>
    <mergeCell ref="A161:D161"/>
    <mergeCell ref="A162:D162"/>
    <mergeCell ref="A143:B143"/>
    <mergeCell ref="A145:B145"/>
    <mergeCell ref="B152:F152"/>
    <mergeCell ref="B158:F158"/>
    <mergeCell ref="B153:F153"/>
    <mergeCell ref="B154:F154"/>
    <mergeCell ref="B155:F155"/>
    <mergeCell ref="B156:F156"/>
    <mergeCell ref="B157:F157"/>
    <mergeCell ref="A1:D1"/>
    <mergeCell ref="A2:D2"/>
    <mergeCell ref="A112:B112"/>
    <mergeCell ref="A105:C105"/>
    <mergeCell ref="A117:C117"/>
    <mergeCell ref="A56:B56"/>
    <mergeCell ref="A47:C47"/>
    <mergeCell ref="A64:B64"/>
    <mergeCell ref="A58:C58"/>
    <mergeCell ref="A76:B76"/>
    <mergeCell ref="A67:C67"/>
    <mergeCell ref="A19:B19"/>
    <mergeCell ref="A98:C98"/>
    <mergeCell ref="A94:B94"/>
    <mergeCell ref="A96:B96"/>
    <mergeCell ref="A3:D3"/>
    <mergeCell ref="A132:B132"/>
    <mergeCell ref="A135:C135"/>
    <mergeCell ref="A149:F149"/>
    <mergeCell ref="B150:F150"/>
    <mergeCell ref="B151:F151"/>
    <mergeCell ref="A24:C24"/>
    <mergeCell ref="A44:B44"/>
    <mergeCell ref="A32:D32"/>
    <mergeCell ref="A114:C114"/>
    <mergeCell ref="A5:C5"/>
    <mergeCell ref="A29:B29"/>
    <mergeCell ref="A22:C22"/>
    <mergeCell ref="A79:C79"/>
    <mergeCell ref="A92:B92"/>
    <mergeCell ref="A82:C82"/>
    <mergeCell ref="A102:B102"/>
  </mergeCells>
  <printOptions/>
  <pageMargins left="0.5118110236220472" right="0.5118110236220472" top="0.7874015748031497" bottom="0.7874015748031497" header="0.31496062992125984" footer="0.31496062992125984"/>
  <pageSetup fitToHeight="2" fitToWidth="2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PageLayoutView="0" workbookViewId="0" topLeftCell="A1">
      <selection activeCell="D118" sqref="D118"/>
    </sheetView>
  </sheetViews>
  <sheetFormatPr defaultColWidth="9.140625" defaultRowHeight="15"/>
  <cols>
    <col min="1" max="1" width="7.7109375" style="9" customWidth="1"/>
    <col min="2" max="2" width="54.8515625" style="9" customWidth="1"/>
    <col min="3" max="3" width="15.28125" style="9" customWidth="1"/>
    <col min="4" max="4" width="14.8515625" style="9" customWidth="1"/>
    <col min="5" max="5" width="26.57421875" style="9" bestFit="1" customWidth="1"/>
    <col min="6" max="6" width="18.00390625" style="9" bestFit="1" customWidth="1"/>
    <col min="7" max="7" width="15.140625" style="9" customWidth="1"/>
    <col min="8" max="9" width="9.140625" style="9" customWidth="1"/>
    <col min="10" max="10" width="13.8515625" style="9" customWidth="1"/>
    <col min="11" max="16384" width="9.140625" style="9" customWidth="1"/>
  </cols>
  <sheetData>
    <row r="1" spans="1:4" ht="23.25">
      <c r="A1" s="275" t="s">
        <v>62</v>
      </c>
      <c r="B1" s="275"/>
      <c r="C1" s="275"/>
      <c r="D1" s="275"/>
    </row>
    <row r="2" spans="1:4" ht="18.75">
      <c r="A2" s="276" t="s">
        <v>63</v>
      </c>
      <c r="B2" s="276"/>
      <c r="C2" s="276"/>
      <c r="D2" s="276"/>
    </row>
    <row r="3" ht="16.5" thickBot="1"/>
    <row r="4" spans="1:5" ht="19.5" thickBot="1">
      <c r="A4" s="282" t="s">
        <v>8</v>
      </c>
      <c r="B4" s="283"/>
      <c r="C4" s="283"/>
      <c r="D4" s="284"/>
      <c r="E4"/>
    </row>
    <row r="5" spans="1:5" ht="15.75">
      <c r="A5" s="221"/>
      <c r="B5" s="222"/>
      <c r="C5" s="222"/>
      <c r="D5" s="223"/>
      <c r="E5"/>
    </row>
    <row r="6" spans="1:4" ht="15.75">
      <c r="A6" s="224">
        <v>1</v>
      </c>
      <c r="B6" s="285" t="s">
        <v>9</v>
      </c>
      <c r="C6" s="285"/>
      <c r="D6" s="225" t="s">
        <v>10</v>
      </c>
    </row>
    <row r="7" spans="1:4" ht="15.75">
      <c r="A7" s="226" t="s">
        <v>11</v>
      </c>
      <c r="B7" s="286" t="s">
        <v>184</v>
      </c>
      <c r="C7" s="286"/>
      <c r="D7" s="236"/>
    </row>
    <row r="8" spans="1:4" ht="15.75">
      <c r="A8" s="226" t="s">
        <v>12</v>
      </c>
      <c r="B8" s="286" t="s">
        <v>183</v>
      </c>
      <c r="C8" s="286"/>
      <c r="D8" s="236">
        <v>0</v>
      </c>
    </row>
    <row r="9" spans="1:4" ht="15.75">
      <c r="A9" s="226" t="s">
        <v>14</v>
      </c>
      <c r="B9" s="286" t="s">
        <v>185</v>
      </c>
      <c r="C9" s="286"/>
      <c r="D9" s="236">
        <v>0</v>
      </c>
    </row>
    <row r="10" spans="1:4" ht="15.75">
      <c r="A10" s="226" t="s">
        <v>16</v>
      </c>
      <c r="B10" s="286" t="s">
        <v>0</v>
      </c>
      <c r="C10" s="286"/>
      <c r="D10" s="236">
        <v>0</v>
      </c>
    </row>
    <row r="11" spans="1:4" ht="15.75">
      <c r="A11" s="226" t="s">
        <v>17</v>
      </c>
      <c r="B11" s="286" t="s">
        <v>186</v>
      </c>
      <c r="C11" s="286"/>
      <c r="D11" s="236"/>
    </row>
    <row r="12" spans="1:4" ht="16.5" customHeight="1" thickBot="1">
      <c r="A12" s="290" t="s">
        <v>187</v>
      </c>
      <c r="B12" s="291"/>
      <c r="C12" s="291"/>
      <c r="D12" s="237">
        <f>SUM(D7:D11)</f>
        <v>0</v>
      </c>
    </row>
    <row r="13" spans="1:4" ht="16.5" customHeight="1" thickBot="1">
      <c r="A13" s="17"/>
      <c r="B13" s="17"/>
      <c r="C13" s="17"/>
      <c r="D13" s="229"/>
    </row>
    <row r="14" spans="1:5" ht="19.5" thickBot="1">
      <c r="A14" s="282" t="s">
        <v>21</v>
      </c>
      <c r="B14" s="283"/>
      <c r="C14" s="283"/>
      <c r="D14" s="284"/>
      <c r="E14"/>
    </row>
    <row r="15" spans="1:5" ht="15.75">
      <c r="A15" s="230"/>
      <c r="B15" s="222"/>
      <c r="C15" s="222"/>
      <c r="D15" s="223"/>
      <c r="E15"/>
    </row>
    <row r="16" spans="1:5" ht="15.75">
      <c r="A16" s="294" t="s">
        <v>197</v>
      </c>
      <c r="B16" s="265"/>
      <c r="C16" s="265"/>
      <c r="D16" s="295"/>
      <c r="E16"/>
    </row>
    <row r="17" spans="1:4" ht="15.75">
      <c r="A17" s="221"/>
      <c r="B17" s="222"/>
      <c r="C17" s="222"/>
      <c r="D17" s="223"/>
    </row>
    <row r="18" spans="1:4" ht="31.5">
      <c r="A18" s="224" t="s">
        <v>23</v>
      </c>
      <c r="B18" s="194" t="s">
        <v>24</v>
      </c>
      <c r="C18" s="194" t="s">
        <v>29</v>
      </c>
      <c r="D18" s="225" t="s">
        <v>10</v>
      </c>
    </row>
    <row r="19" spans="1:4" ht="15.75">
      <c r="A19" s="226" t="s">
        <v>11</v>
      </c>
      <c r="B19" s="195" t="s">
        <v>189</v>
      </c>
      <c r="C19" s="196">
        <v>0.0833</v>
      </c>
      <c r="D19" s="231">
        <f>D12*C19</f>
        <v>0</v>
      </c>
    </row>
    <row r="20" spans="1:4" ht="15.75">
      <c r="A20" s="226" t="s">
        <v>12</v>
      </c>
      <c r="B20" s="195" t="s">
        <v>219</v>
      </c>
      <c r="C20" s="196">
        <f>1/3/12</f>
        <v>0.027777777777777776</v>
      </c>
      <c r="D20" s="231">
        <f>D12*C20</f>
        <v>0</v>
      </c>
    </row>
    <row r="21" spans="1:4" ht="15.75">
      <c r="A21" s="287" t="s">
        <v>188</v>
      </c>
      <c r="B21" s="285"/>
      <c r="C21" s="197">
        <f>SUM(C19:C20)</f>
        <v>0.11107777777777778</v>
      </c>
      <c r="D21" s="232">
        <f>SUM(D19:D20)</f>
        <v>0</v>
      </c>
    </row>
    <row r="22" spans="1:4" ht="15.75">
      <c r="A22" s="221"/>
      <c r="B22" s="222"/>
      <c r="C22" s="222"/>
      <c r="D22" s="223"/>
    </row>
    <row r="23" spans="1:4" ht="15.75">
      <c r="A23" s="288" t="s">
        <v>26</v>
      </c>
      <c r="B23" s="268"/>
      <c r="C23" s="268"/>
      <c r="D23" s="289"/>
    </row>
    <row r="24" spans="1:4" ht="15.75">
      <c r="A24" s="221"/>
      <c r="B24" s="222"/>
      <c r="C24" s="222"/>
      <c r="D24" s="223"/>
    </row>
    <row r="25" spans="1:4" ht="41.25">
      <c r="A25" s="224" t="s">
        <v>27</v>
      </c>
      <c r="B25" s="194" t="s">
        <v>202</v>
      </c>
      <c r="C25" s="194" t="s">
        <v>29</v>
      </c>
      <c r="D25" s="225" t="s">
        <v>10</v>
      </c>
    </row>
    <row r="26" spans="1:4" ht="15.75">
      <c r="A26" s="226" t="s">
        <v>11</v>
      </c>
      <c r="B26" s="195" t="s">
        <v>30</v>
      </c>
      <c r="C26" s="198">
        <v>0.2</v>
      </c>
      <c r="D26" s="231">
        <f aca="true" t="shared" si="0" ref="D26:D33">C26*($D$12+$D$21)</f>
        <v>0</v>
      </c>
    </row>
    <row r="27" spans="1:4" ht="15.75">
      <c r="A27" s="226" t="s">
        <v>12</v>
      </c>
      <c r="B27" s="195" t="s">
        <v>31</v>
      </c>
      <c r="C27" s="198">
        <v>0.025</v>
      </c>
      <c r="D27" s="231">
        <f t="shared" si="0"/>
        <v>0</v>
      </c>
    </row>
    <row r="28" spans="1:4" ht="15.75">
      <c r="A28" s="233" t="s">
        <v>14</v>
      </c>
      <c r="B28" s="199" t="s">
        <v>190</v>
      </c>
      <c r="C28" s="200">
        <v>0.015</v>
      </c>
      <c r="D28" s="231">
        <f t="shared" si="0"/>
        <v>0</v>
      </c>
    </row>
    <row r="29" spans="1:4" ht="15.75">
      <c r="A29" s="226" t="s">
        <v>16</v>
      </c>
      <c r="B29" s="195" t="s">
        <v>32</v>
      </c>
      <c r="C29" s="198">
        <v>0.015</v>
      </c>
      <c r="D29" s="231">
        <f t="shared" si="0"/>
        <v>0</v>
      </c>
    </row>
    <row r="30" spans="1:4" ht="15.75">
      <c r="A30" s="226" t="s">
        <v>17</v>
      </c>
      <c r="B30" s="195" t="s">
        <v>33</v>
      </c>
      <c r="C30" s="198">
        <v>0.01</v>
      </c>
      <c r="D30" s="231">
        <f t="shared" si="0"/>
        <v>0</v>
      </c>
    </row>
    <row r="31" spans="1:4" ht="15.75">
      <c r="A31" s="226" t="s">
        <v>18</v>
      </c>
      <c r="B31" s="195" t="s">
        <v>3</v>
      </c>
      <c r="C31" s="198">
        <v>0.006</v>
      </c>
      <c r="D31" s="231">
        <f t="shared" si="0"/>
        <v>0</v>
      </c>
    </row>
    <row r="32" spans="1:4" ht="15.75">
      <c r="A32" s="226" t="s">
        <v>19</v>
      </c>
      <c r="B32" s="195" t="s">
        <v>4</v>
      </c>
      <c r="C32" s="198">
        <v>0.002</v>
      </c>
      <c r="D32" s="231">
        <f t="shared" si="0"/>
        <v>0</v>
      </c>
    </row>
    <row r="33" spans="1:4" ht="15.75">
      <c r="A33" s="226" t="s">
        <v>34</v>
      </c>
      <c r="B33" s="195" t="s">
        <v>5</v>
      </c>
      <c r="C33" s="198">
        <v>0.08</v>
      </c>
      <c r="D33" s="231">
        <f t="shared" si="0"/>
        <v>0</v>
      </c>
    </row>
    <row r="34" spans="1:5" ht="15.75">
      <c r="A34" s="287" t="s">
        <v>220</v>
      </c>
      <c r="B34" s="285"/>
      <c r="C34" s="201">
        <f>SUM(C26:C33)</f>
        <v>0.35300000000000004</v>
      </c>
      <c r="D34" s="232">
        <f>SUM(D26:D33)</f>
        <v>0</v>
      </c>
      <c r="E34"/>
    </row>
    <row r="35" spans="1:4" ht="15.75">
      <c r="A35" s="221"/>
      <c r="B35" s="222"/>
      <c r="C35" s="222"/>
      <c r="D35" s="223"/>
    </row>
    <row r="36" spans="1:4" ht="15.75">
      <c r="A36" s="294" t="s">
        <v>195</v>
      </c>
      <c r="B36" s="265"/>
      <c r="C36" s="265"/>
      <c r="D36" s="295"/>
    </row>
    <row r="37" spans="1:4" ht="15.75">
      <c r="A37" s="221"/>
      <c r="B37" s="222"/>
      <c r="C37" s="222"/>
      <c r="D37" s="223"/>
    </row>
    <row r="38" spans="1:4" ht="15.75">
      <c r="A38" s="224" t="s">
        <v>36</v>
      </c>
      <c r="B38" s="285" t="s">
        <v>37</v>
      </c>
      <c r="C38" s="285"/>
      <c r="D38" s="225" t="s">
        <v>10</v>
      </c>
    </row>
    <row r="39" spans="1:4" ht="15.75">
      <c r="A39" s="226" t="s">
        <v>11</v>
      </c>
      <c r="B39" s="286" t="s">
        <v>191</v>
      </c>
      <c r="C39" s="286"/>
      <c r="D39" s="231"/>
    </row>
    <row r="40" spans="1:4" ht="15.75">
      <c r="A40" s="226" t="s">
        <v>12</v>
      </c>
      <c r="B40" s="286" t="s">
        <v>192</v>
      </c>
      <c r="C40" s="286"/>
      <c r="D40" s="234"/>
    </row>
    <row r="41" spans="1:4" ht="15.75">
      <c r="A41" s="226" t="s">
        <v>14</v>
      </c>
      <c r="B41" s="286" t="s">
        <v>222</v>
      </c>
      <c r="C41" s="286"/>
      <c r="D41" s="234"/>
    </row>
    <row r="42" spans="1:4" ht="15.75">
      <c r="A42" s="226" t="s">
        <v>16</v>
      </c>
      <c r="B42" s="286" t="s">
        <v>221</v>
      </c>
      <c r="C42" s="286"/>
      <c r="D42" s="234"/>
    </row>
    <row r="43" spans="1:4" ht="15.75">
      <c r="A43" s="226" t="s">
        <v>193</v>
      </c>
      <c r="B43" s="286" t="s">
        <v>186</v>
      </c>
      <c r="C43" s="286"/>
      <c r="D43" s="234"/>
    </row>
    <row r="44" spans="1:4" ht="16.5" customHeight="1" thickBot="1">
      <c r="A44" s="290" t="s">
        <v>194</v>
      </c>
      <c r="B44" s="291"/>
      <c r="C44" s="291"/>
      <c r="D44" s="235">
        <f>SUM(D39:D43)</f>
        <v>0</v>
      </c>
    </row>
    <row r="45" ht="16.5" thickBot="1">
      <c r="E45" s="26"/>
    </row>
    <row r="46" spans="1:4" ht="15.75">
      <c r="A46" s="296" t="s">
        <v>40</v>
      </c>
      <c r="B46" s="297"/>
      <c r="C46" s="297"/>
      <c r="D46" s="298"/>
    </row>
    <row r="47" spans="1:4" ht="15.75">
      <c r="A47" s="238"/>
      <c r="B47" s="239"/>
      <c r="C47" s="239"/>
      <c r="D47" s="240"/>
    </row>
    <row r="48" spans="1:4" ht="15.75">
      <c r="A48" s="241">
        <v>2</v>
      </c>
      <c r="B48" s="299" t="s">
        <v>41</v>
      </c>
      <c r="C48" s="299"/>
      <c r="D48" s="242" t="s">
        <v>10</v>
      </c>
    </row>
    <row r="49" spans="1:4" ht="15.75">
      <c r="A49" s="243" t="s">
        <v>11</v>
      </c>
      <c r="B49" s="300" t="s">
        <v>196</v>
      </c>
      <c r="C49" s="300"/>
      <c r="D49" s="244">
        <f>D21</f>
        <v>0</v>
      </c>
    </row>
    <row r="50" spans="1:4" ht="15.75">
      <c r="A50" s="243" t="s">
        <v>12</v>
      </c>
      <c r="B50" s="300" t="s">
        <v>198</v>
      </c>
      <c r="C50" s="300"/>
      <c r="D50" s="244">
        <f>D34</f>
        <v>0</v>
      </c>
    </row>
    <row r="51" spans="1:4" ht="15.75">
      <c r="A51" s="243" t="s">
        <v>14</v>
      </c>
      <c r="B51" s="300" t="s">
        <v>199</v>
      </c>
      <c r="C51" s="300"/>
      <c r="D51" s="245">
        <f>D44</f>
        <v>0</v>
      </c>
    </row>
    <row r="52" spans="1:5" ht="16.5" customHeight="1" thickBot="1">
      <c r="A52" s="301" t="s">
        <v>200</v>
      </c>
      <c r="B52" s="302"/>
      <c r="C52" s="302"/>
      <c r="D52" s="246">
        <f>SUM(D49:D51)</f>
        <v>0</v>
      </c>
      <c r="E52" s="16"/>
    </row>
    <row r="53" ht="16.5" thickBot="1"/>
    <row r="54" spans="1:4" ht="19.5" thickBot="1">
      <c r="A54" s="282" t="s">
        <v>42</v>
      </c>
      <c r="B54" s="283"/>
      <c r="C54" s="283"/>
      <c r="D54" s="284"/>
    </row>
    <row r="55" spans="1:4" ht="15.75">
      <c r="A55" s="221"/>
      <c r="B55" s="222"/>
      <c r="C55" s="222"/>
      <c r="D55" s="223"/>
    </row>
    <row r="56" spans="1:4" ht="31.5">
      <c r="A56" s="224">
        <v>3</v>
      </c>
      <c r="B56" s="194" t="s">
        <v>43</v>
      </c>
      <c r="C56" s="194" t="s">
        <v>29</v>
      </c>
      <c r="D56" s="225" t="s">
        <v>10</v>
      </c>
    </row>
    <row r="57" spans="1:4" ht="15.75">
      <c r="A57" s="226" t="s">
        <v>11</v>
      </c>
      <c r="B57" s="202" t="s">
        <v>203</v>
      </c>
      <c r="C57" s="203">
        <f>(1/12)*5%</f>
        <v>0.004166666666666667</v>
      </c>
      <c r="D57" s="231">
        <f aca="true" t="shared" si="1" ref="D57:D62">C57*($D$12)</f>
        <v>0</v>
      </c>
    </row>
    <row r="58" spans="1:4" ht="27.75">
      <c r="A58" s="226" t="s">
        <v>12</v>
      </c>
      <c r="B58" s="202" t="s">
        <v>204</v>
      </c>
      <c r="C58" s="203">
        <f>C57*8%</f>
        <v>0.0003333333333333333</v>
      </c>
      <c r="D58" s="231">
        <f t="shared" si="1"/>
        <v>0</v>
      </c>
    </row>
    <row r="59" spans="1:4" ht="27.75">
      <c r="A59" s="226" t="s">
        <v>14</v>
      </c>
      <c r="B59" s="204" t="s">
        <v>205</v>
      </c>
      <c r="C59" s="220">
        <v>0.0344</v>
      </c>
      <c r="D59" s="231">
        <f t="shared" si="1"/>
        <v>0</v>
      </c>
    </row>
    <row r="60" spans="1:4" ht="15.75">
      <c r="A60" s="226" t="s">
        <v>16</v>
      </c>
      <c r="B60" s="202" t="s">
        <v>45</v>
      </c>
      <c r="C60" s="205">
        <f>((7/30)/12)</f>
        <v>0.019444444444444445</v>
      </c>
      <c r="D60" s="231">
        <f t="shared" si="1"/>
        <v>0</v>
      </c>
    </row>
    <row r="61" spans="1:4" ht="31.5">
      <c r="A61" s="226" t="s">
        <v>17</v>
      </c>
      <c r="B61" s="202" t="s">
        <v>206</v>
      </c>
      <c r="C61" s="206">
        <v>0.00686</v>
      </c>
      <c r="D61" s="231">
        <f t="shared" si="1"/>
        <v>0</v>
      </c>
    </row>
    <row r="62" spans="1:5" ht="15.75">
      <c r="A62" s="226" t="s">
        <v>18</v>
      </c>
      <c r="B62" s="202" t="s">
        <v>83</v>
      </c>
      <c r="C62" s="205">
        <v>0.00062</v>
      </c>
      <c r="D62" s="231">
        <f t="shared" si="1"/>
        <v>0</v>
      </c>
      <c r="E62" s="29"/>
    </row>
    <row r="63" spans="1:6" ht="16.5" thickBot="1">
      <c r="A63" s="290" t="s">
        <v>201</v>
      </c>
      <c r="B63" s="291"/>
      <c r="C63" s="247">
        <f>SUM(C57:C62)</f>
        <v>0.06582444444444444</v>
      </c>
      <c r="D63" s="228">
        <f>SUM(D57:D62)</f>
        <v>0</v>
      </c>
      <c r="E63"/>
      <c r="F63" s="16"/>
    </row>
    <row r="64" ht="16.5" thickBot="1">
      <c r="E64"/>
    </row>
    <row r="65" spans="1:4" ht="19.5" thickBot="1">
      <c r="A65" s="282" t="s">
        <v>47</v>
      </c>
      <c r="B65" s="283"/>
      <c r="C65" s="283"/>
      <c r="D65" s="284"/>
    </row>
    <row r="66" spans="1:4" ht="15.75">
      <c r="A66" s="221"/>
      <c r="B66" s="222"/>
      <c r="C66" s="222"/>
      <c r="D66" s="223"/>
    </row>
    <row r="67" spans="1:4" ht="15.75">
      <c r="A67" s="294" t="s">
        <v>48</v>
      </c>
      <c r="B67" s="265"/>
      <c r="C67" s="265"/>
      <c r="D67" s="295"/>
    </row>
    <row r="68" spans="1:4" ht="15.75">
      <c r="A68" s="230"/>
      <c r="B68" s="222"/>
      <c r="C68" s="222"/>
      <c r="D68" s="223"/>
    </row>
    <row r="69" spans="1:7" ht="31.5">
      <c r="A69" s="224" t="s">
        <v>49</v>
      </c>
      <c r="B69" s="194" t="s">
        <v>50</v>
      </c>
      <c r="C69" s="194" t="s">
        <v>29</v>
      </c>
      <c r="D69" s="225" t="s">
        <v>10</v>
      </c>
      <c r="F69"/>
      <c r="G69"/>
    </row>
    <row r="70" spans="1:7" ht="15.75">
      <c r="A70" s="226" t="s">
        <v>11</v>
      </c>
      <c r="B70" s="216" t="s">
        <v>223</v>
      </c>
      <c r="C70" s="207">
        <f>1/12</f>
        <v>0.08333333333333333</v>
      </c>
      <c r="D70" s="231">
        <f>C70*($D$12)</f>
        <v>0</v>
      </c>
      <c r="F70"/>
      <c r="G70"/>
    </row>
    <row r="71" spans="1:7" ht="27.75">
      <c r="A71" s="248" t="s">
        <v>12</v>
      </c>
      <c r="B71" s="217" t="s">
        <v>228</v>
      </c>
      <c r="C71" s="208">
        <v>0.0008</v>
      </c>
      <c r="D71" s="231">
        <f aca="true" t="shared" si="2" ref="D71:D76">C71*$D$12</f>
        <v>0</v>
      </c>
      <c r="F71"/>
      <c r="G71"/>
    </row>
    <row r="72" spans="1:7" ht="27.75">
      <c r="A72" s="226" t="s">
        <v>14</v>
      </c>
      <c r="B72" s="216" t="s">
        <v>224</v>
      </c>
      <c r="C72" s="208">
        <v>0.00178</v>
      </c>
      <c r="D72" s="231">
        <f t="shared" si="2"/>
        <v>0</v>
      </c>
      <c r="F72"/>
      <c r="G72"/>
    </row>
    <row r="73" spans="1:7" ht="27.75">
      <c r="A73" s="226" t="s">
        <v>16</v>
      </c>
      <c r="B73" s="216" t="s">
        <v>225</v>
      </c>
      <c r="C73" s="208">
        <v>0.00053</v>
      </c>
      <c r="D73" s="231">
        <f t="shared" si="2"/>
        <v>0</v>
      </c>
      <c r="F73"/>
      <c r="G73"/>
    </row>
    <row r="74" spans="1:7" ht="31.5">
      <c r="A74" s="226" t="s">
        <v>17</v>
      </c>
      <c r="B74" s="216" t="s">
        <v>226</v>
      </c>
      <c r="C74" s="208">
        <v>0.00023</v>
      </c>
      <c r="D74" s="231">
        <f t="shared" si="2"/>
        <v>0</v>
      </c>
      <c r="F74"/>
      <c r="G74"/>
    </row>
    <row r="75" spans="1:7" ht="27.75">
      <c r="A75" s="226" t="s">
        <v>18</v>
      </c>
      <c r="B75" s="216" t="s">
        <v>227</v>
      </c>
      <c r="C75" s="208">
        <v>0.00178</v>
      </c>
      <c r="D75" s="231">
        <f t="shared" si="2"/>
        <v>0</v>
      </c>
      <c r="F75"/>
      <c r="G75"/>
    </row>
    <row r="76" spans="1:7" ht="15.75">
      <c r="A76" s="226" t="s">
        <v>19</v>
      </c>
      <c r="B76" s="216" t="s">
        <v>186</v>
      </c>
      <c r="C76" s="218"/>
      <c r="D76" s="231">
        <f t="shared" si="2"/>
        <v>0</v>
      </c>
      <c r="F76"/>
      <c r="G76"/>
    </row>
    <row r="77" spans="1:7" ht="15.75">
      <c r="A77" s="287" t="s">
        <v>208</v>
      </c>
      <c r="B77" s="285"/>
      <c r="C77" s="209">
        <f>SUM(C70:C76)</f>
        <v>0.08845333333333333</v>
      </c>
      <c r="D77" s="232">
        <f>SUM(D70:D76)</f>
        <v>0</v>
      </c>
      <c r="F77"/>
      <c r="G77"/>
    </row>
    <row r="78" spans="1:7" ht="31.5">
      <c r="A78" s="226" t="s">
        <v>34</v>
      </c>
      <c r="B78" s="195" t="s">
        <v>207</v>
      </c>
      <c r="C78" s="210">
        <f>(C77-C75)*(1/12+1/12+(1/12*1/3))</f>
        <v>0.016853148148148145</v>
      </c>
      <c r="D78" s="227">
        <f>C78*$D$12</f>
        <v>0</v>
      </c>
      <c r="F78" s="39"/>
      <c r="G78"/>
    </row>
    <row r="79" spans="1:7" ht="15.75">
      <c r="A79" s="287" t="s">
        <v>209</v>
      </c>
      <c r="B79" s="285"/>
      <c r="C79" s="209">
        <f>C77+C78</f>
        <v>0.10530648148148147</v>
      </c>
      <c r="D79" s="232">
        <f>D77+D78</f>
        <v>0</v>
      </c>
      <c r="F79"/>
      <c r="G79"/>
    </row>
    <row r="80" spans="1:7" ht="27.75">
      <c r="A80" s="233" t="s">
        <v>77</v>
      </c>
      <c r="B80" s="199" t="s">
        <v>210</v>
      </c>
      <c r="C80" s="210">
        <f>C34*C79</f>
        <v>0.03717318796296296</v>
      </c>
      <c r="D80" s="227">
        <f>C80*$D$12</f>
        <v>0</v>
      </c>
      <c r="F80"/>
      <c r="G80"/>
    </row>
    <row r="81" spans="1:7" ht="16.5" thickBot="1">
      <c r="A81" s="290" t="s">
        <v>211</v>
      </c>
      <c r="B81" s="291"/>
      <c r="C81" s="249">
        <f>C79+C80</f>
        <v>0.14247966944444443</v>
      </c>
      <c r="D81" s="228">
        <f>D79+D80</f>
        <v>0</v>
      </c>
      <c r="E81"/>
      <c r="F81"/>
      <c r="G81"/>
    </row>
    <row r="82" spans="2:3" ht="16.5" thickBot="1">
      <c r="B82" s="23"/>
      <c r="C82" s="20"/>
    </row>
    <row r="83" spans="1:7" ht="19.5" thickBot="1">
      <c r="A83" s="282" t="s">
        <v>53</v>
      </c>
      <c r="B83" s="283"/>
      <c r="C83" s="283"/>
      <c r="D83" s="284"/>
      <c r="E83"/>
      <c r="F83"/>
      <c r="G83"/>
    </row>
    <row r="84" spans="1:7" ht="15.75">
      <c r="A84" s="221"/>
      <c r="B84" s="222"/>
      <c r="C84" s="222"/>
      <c r="D84" s="250"/>
      <c r="E84"/>
      <c r="F84"/>
      <c r="G84"/>
    </row>
    <row r="85" spans="1:4" ht="15.75">
      <c r="A85" s="224">
        <v>5</v>
      </c>
      <c r="B85" s="285" t="s">
        <v>229</v>
      </c>
      <c r="C85" s="285"/>
      <c r="D85" s="225" t="s">
        <v>10</v>
      </c>
    </row>
    <row r="86" spans="1:4" ht="15.75">
      <c r="A86" s="226" t="s">
        <v>11</v>
      </c>
      <c r="B86" s="286" t="s">
        <v>54</v>
      </c>
      <c r="C86" s="286"/>
      <c r="D86" s="236"/>
    </row>
    <row r="87" spans="1:4" ht="15.75">
      <c r="A87" s="226" t="s">
        <v>12</v>
      </c>
      <c r="B87" s="286" t="s">
        <v>213</v>
      </c>
      <c r="C87" s="286"/>
      <c r="D87" s="236"/>
    </row>
    <row r="88" spans="1:4" ht="15.75">
      <c r="A88" s="226" t="s">
        <v>14</v>
      </c>
      <c r="B88" s="286" t="s">
        <v>212</v>
      </c>
      <c r="C88" s="286"/>
      <c r="D88" s="236"/>
    </row>
    <row r="89" spans="1:4" ht="15.75">
      <c r="A89" s="226" t="s">
        <v>16</v>
      </c>
      <c r="B89" s="286" t="s">
        <v>186</v>
      </c>
      <c r="C89" s="286"/>
      <c r="D89" s="236"/>
    </row>
    <row r="90" spans="1:6" ht="16.5" thickBot="1">
      <c r="A90" s="290" t="s">
        <v>240</v>
      </c>
      <c r="B90" s="291"/>
      <c r="C90" s="291"/>
      <c r="D90" s="228">
        <f>SUM(D86:D89)</f>
        <v>0</v>
      </c>
      <c r="E90"/>
      <c r="F90"/>
    </row>
    <row r="91" spans="1:6" ht="16.5" thickBot="1">
      <c r="A91" s="17"/>
      <c r="B91" s="17"/>
      <c r="C91" s="18"/>
      <c r="D91"/>
      <c r="E91"/>
      <c r="F91"/>
    </row>
    <row r="92" spans="1:6" ht="32.25" customHeight="1" thickBot="1">
      <c r="A92" s="292" t="s">
        <v>214</v>
      </c>
      <c r="B92" s="293"/>
      <c r="C92" s="293"/>
      <c r="D92" s="251">
        <f>D12+D52+D63+D81+D90</f>
        <v>0</v>
      </c>
      <c r="E92"/>
      <c r="F92"/>
    </row>
    <row r="93" spans="4:6" ht="16.5" thickBot="1">
      <c r="D93"/>
      <c r="E93"/>
      <c r="F93"/>
    </row>
    <row r="94" spans="1:6" ht="19.5" thickBot="1">
      <c r="A94" s="282" t="s">
        <v>57</v>
      </c>
      <c r="B94" s="283"/>
      <c r="C94" s="283"/>
      <c r="D94" s="284"/>
      <c r="E94"/>
      <c r="F94"/>
    </row>
    <row r="95" spans="1:6" ht="15.75">
      <c r="A95" s="221"/>
      <c r="B95" s="222"/>
      <c r="C95" s="222"/>
      <c r="D95" s="223"/>
      <c r="E95"/>
      <c r="F95"/>
    </row>
    <row r="96" spans="1:6" ht="31.5">
      <c r="A96" s="224">
        <v>6</v>
      </c>
      <c r="B96" s="211" t="s">
        <v>95</v>
      </c>
      <c r="C96" s="194" t="s">
        <v>29</v>
      </c>
      <c r="D96" s="225" t="s">
        <v>10</v>
      </c>
      <c r="E96"/>
      <c r="F96"/>
    </row>
    <row r="97" spans="1:6" ht="15.75">
      <c r="A97" s="226" t="s">
        <v>11</v>
      </c>
      <c r="B97" s="195" t="s">
        <v>215</v>
      </c>
      <c r="C97" s="200"/>
      <c r="D97" s="231">
        <f>C97*$D$92</f>
        <v>0</v>
      </c>
      <c r="E97"/>
      <c r="F97"/>
    </row>
    <row r="98" spans="1:6" ht="15.75">
      <c r="A98" s="226" t="s">
        <v>12</v>
      </c>
      <c r="B98" s="195" t="s">
        <v>7</v>
      </c>
      <c r="C98" s="200"/>
      <c r="D98" s="231">
        <f>C98*$D$92</f>
        <v>0</v>
      </c>
      <c r="E98"/>
      <c r="F98"/>
    </row>
    <row r="99" spans="1:6" ht="15.75">
      <c r="A99" s="303" t="s">
        <v>217</v>
      </c>
      <c r="B99" s="304"/>
      <c r="C99" s="212"/>
      <c r="D99" s="252">
        <f>D97+D98</f>
        <v>0</v>
      </c>
      <c r="E99"/>
      <c r="F99"/>
    </row>
    <row r="100" spans="1:7" ht="31.5">
      <c r="A100" s="255"/>
      <c r="B100" s="256" t="s">
        <v>91</v>
      </c>
      <c r="C100" s="305">
        <f>100%-C103</f>
        <v>0.9135</v>
      </c>
      <c r="D100" s="308">
        <f>D92+D99</f>
        <v>0</v>
      </c>
      <c r="E100"/>
      <c r="F100" s="39"/>
      <c r="G100" s="16"/>
    </row>
    <row r="101" spans="1:7" ht="15.75">
      <c r="A101" s="257"/>
      <c r="B101" s="258" t="s">
        <v>93</v>
      </c>
      <c r="C101" s="306"/>
      <c r="D101" s="309"/>
      <c r="E101"/>
      <c r="F101" s="39"/>
      <c r="G101" s="16"/>
    </row>
    <row r="102" spans="1:7" ht="15.75">
      <c r="A102" s="259"/>
      <c r="B102" s="260" t="s">
        <v>94</v>
      </c>
      <c r="C102" s="307"/>
      <c r="D102" s="310"/>
      <c r="E102" s="39"/>
      <c r="F102" s="39"/>
      <c r="G102" s="16"/>
    </row>
    <row r="103" spans="1:6" ht="51.75">
      <c r="A103" s="226" t="s">
        <v>14</v>
      </c>
      <c r="B103" s="216" t="s">
        <v>230</v>
      </c>
      <c r="C103" s="213">
        <f>C104+C105+C106</f>
        <v>0.0865</v>
      </c>
      <c r="D103" s="253">
        <f>D104+D105+D106</f>
        <v>0</v>
      </c>
      <c r="E103"/>
      <c r="F103" s="42"/>
    </row>
    <row r="104" spans="1:7" ht="15.75">
      <c r="A104" s="226"/>
      <c r="B104" s="195" t="s">
        <v>96</v>
      </c>
      <c r="C104" s="219">
        <f>0.65%+3%</f>
        <v>0.0365</v>
      </c>
      <c r="D104" s="231">
        <f>C104*D102</f>
        <v>0</v>
      </c>
      <c r="E104"/>
      <c r="F104"/>
      <c r="G104"/>
    </row>
    <row r="105" spans="1:7" ht="15.75">
      <c r="A105" s="226"/>
      <c r="B105" s="195" t="s">
        <v>97</v>
      </c>
      <c r="C105" s="215">
        <v>0</v>
      </c>
      <c r="D105" s="231">
        <f>C105*D102</f>
        <v>0</v>
      </c>
      <c r="E105"/>
      <c r="F105"/>
      <c r="G105"/>
    </row>
    <row r="106" spans="1:13" ht="15.75">
      <c r="A106" s="226"/>
      <c r="B106" s="195" t="s">
        <v>98</v>
      </c>
      <c r="C106" s="214">
        <v>0.05</v>
      </c>
      <c r="D106" s="231">
        <f>C106*D102</f>
        <v>0</v>
      </c>
      <c r="E106"/>
      <c r="F106"/>
      <c r="G106"/>
      <c r="H106"/>
      <c r="I106"/>
      <c r="J106"/>
      <c r="K106"/>
      <c r="L106"/>
      <c r="M106"/>
    </row>
    <row r="107" spans="1:13" ht="15.75" customHeight="1" thickBot="1">
      <c r="A107" s="311" t="s">
        <v>216</v>
      </c>
      <c r="B107" s="312"/>
      <c r="C107" s="313"/>
      <c r="D107" s="254">
        <f>D99+D103</f>
        <v>0</v>
      </c>
      <c r="E107"/>
      <c r="F107"/>
      <c r="G107"/>
      <c r="H107"/>
      <c r="I107"/>
      <c r="J107"/>
      <c r="K107"/>
      <c r="L107"/>
      <c r="M107"/>
    </row>
    <row r="108" ht="15"/>
    <row r="109" spans="1:13" ht="18.75">
      <c r="A109" s="314" t="s">
        <v>233</v>
      </c>
      <c r="B109" s="314"/>
      <c r="C109" s="314"/>
      <c r="D109" s="314"/>
      <c r="E109"/>
      <c r="F109"/>
      <c r="G109"/>
      <c r="H109"/>
      <c r="I109"/>
      <c r="J109"/>
      <c r="K109"/>
      <c r="L109"/>
      <c r="M109"/>
    </row>
    <row r="110" spans="1:13" ht="15.75">
      <c r="A110" s="261"/>
      <c r="B110" s="261"/>
      <c r="C110" s="261"/>
      <c r="D110" s="261"/>
      <c r="H110"/>
      <c r="I110"/>
      <c r="J110"/>
      <c r="K110"/>
      <c r="L110"/>
      <c r="M110"/>
    </row>
    <row r="111" spans="1:13" ht="15.75">
      <c r="A111" s="299" t="s">
        <v>58</v>
      </c>
      <c r="B111" s="299"/>
      <c r="C111" s="299"/>
      <c r="D111" s="262" t="s">
        <v>10</v>
      </c>
      <c r="E111"/>
      <c r="H111"/>
      <c r="I111"/>
      <c r="J111"/>
      <c r="K111"/>
      <c r="L111"/>
      <c r="M111"/>
    </row>
    <row r="112" spans="1:13" ht="15.75">
      <c r="A112" s="262" t="s">
        <v>11</v>
      </c>
      <c r="B112" s="300" t="s">
        <v>234</v>
      </c>
      <c r="C112" s="300"/>
      <c r="D112" s="263">
        <f>D12</f>
        <v>0</v>
      </c>
      <c r="E112"/>
      <c r="H112"/>
      <c r="I112"/>
      <c r="J112"/>
      <c r="K112"/>
      <c r="L112"/>
      <c r="M112"/>
    </row>
    <row r="113" spans="1:13" ht="15.75">
      <c r="A113" s="262" t="s">
        <v>12</v>
      </c>
      <c r="B113" s="300" t="s">
        <v>235</v>
      </c>
      <c r="C113" s="300"/>
      <c r="D113" s="263">
        <f>D52</f>
        <v>0</v>
      </c>
      <c r="E113"/>
      <c r="F113" s="16"/>
      <c r="G113" s="16"/>
      <c r="H113"/>
      <c r="I113"/>
      <c r="J113"/>
      <c r="K113"/>
      <c r="L113"/>
      <c r="M113"/>
    </row>
    <row r="114" spans="1:13" ht="15.75">
      <c r="A114" s="262" t="s">
        <v>14</v>
      </c>
      <c r="B114" s="300" t="s">
        <v>236</v>
      </c>
      <c r="C114" s="300"/>
      <c r="D114" s="263">
        <f>D63</f>
        <v>0</v>
      </c>
      <c r="E114"/>
      <c r="F114" s="16"/>
      <c r="G114" s="16"/>
      <c r="H114"/>
      <c r="I114"/>
      <c r="J114"/>
      <c r="K114"/>
      <c r="L114"/>
      <c r="M114"/>
    </row>
    <row r="115" spans="1:13" ht="15.75">
      <c r="A115" s="262" t="s">
        <v>16</v>
      </c>
      <c r="B115" s="300" t="s">
        <v>237</v>
      </c>
      <c r="C115" s="300"/>
      <c r="D115" s="263">
        <f>D81</f>
        <v>0</v>
      </c>
      <c r="E115"/>
      <c r="G115" s="16"/>
      <c r="H115"/>
      <c r="I115"/>
      <c r="J115"/>
      <c r="K115"/>
      <c r="L115"/>
      <c r="M115"/>
    </row>
    <row r="116" spans="1:13" ht="15.75">
      <c r="A116" s="262" t="s">
        <v>17</v>
      </c>
      <c r="B116" s="300" t="s">
        <v>238</v>
      </c>
      <c r="C116" s="300"/>
      <c r="D116" s="263">
        <f>D90</f>
        <v>0</v>
      </c>
      <c r="E116"/>
      <c r="H116"/>
      <c r="I116"/>
      <c r="J116"/>
      <c r="K116"/>
      <c r="L116"/>
      <c r="M116"/>
    </row>
    <row r="117" spans="1:13" ht="15.75">
      <c r="A117" s="262" t="s">
        <v>18</v>
      </c>
      <c r="B117" s="300" t="s">
        <v>239</v>
      </c>
      <c r="C117" s="300"/>
      <c r="D117" s="263">
        <f>D107</f>
        <v>0</v>
      </c>
      <c r="E117"/>
      <c r="G117" s="16"/>
      <c r="H117"/>
      <c r="I117"/>
      <c r="J117"/>
      <c r="K117"/>
      <c r="L117"/>
      <c r="M117"/>
    </row>
    <row r="118" spans="1:10" ht="16.5" customHeight="1">
      <c r="A118" s="299" t="s">
        <v>218</v>
      </c>
      <c r="B118" s="299"/>
      <c r="C118" s="299"/>
      <c r="D118" s="264">
        <f>SUM(D112:D117)</f>
        <v>0</v>
      </c>
      <c r="E118"/>
      <c r="F118" s="16"/>
      <c r="G118" s="16"/>
      <c r="J118" s="78"/>
    </row>
    <row r="120" spans="1:2" ht="15.75">
      <c r="A120" s="38" t="s">
        <v>90</v>
      </c>
      <c r="B120" s="27"/>
    </row>
    <row r="122" spans="1:6" ht="15.75">
      <c r="A122" s="274" t="s">
        <v>89</v>
      </c>
      <c r="B122" s="274"/>
      <c r="C122" s="274"/>
      <c r="D122" s="274"/>
      <c r="E122" s="274"/>
      <c r="F122" s="274"/>
    </row>
    <row r="123" spans="1:6" ht="15.75">
      <c r="A123" s="193"/>
      <c r="B123" s="274" t="s">
        <v>109</v>
      </c>
      <c r="C123" s="274"/>
      <c r="D123" s="274"/>
      <c r="E123" s="274"/>
      <c r="F123" s="274"/>
    </row>
    <row r="124" spans="1:6" ht="15.75">
      <c r="A124" s="193"/>
      <c r="B124" s="274" t="s">
        <v>110</v>
      </c>
      <c r="C124" s="274"/>
      <c r="D124" s="274"/>
      <c r="E124" s="274"/>
      <c r="F124" s="274"/>
    </row>
    <row r="125" spans="1:6" ht="31.5" customHeight="1">
      <c r="A125" s="193"/>
      <c r="B125" s="274" t="s">
        <v>111</v>
      </c>
      <c r="C125" s="274"/>
      <c r="D125" s="274"/>
      <c r="E125" s="274"/>
      <c r="F125" s="274"/>
    </row>
    <row r="126" spans="1:6" ht="30.75" customHeight="1">
      <c r="A126" s="193"/>
      <c r="B126" s="274" t="s">
        <v>112</v>
      </c>
      <c r="C126" s="274"/>
      <c r="D126" s="274"/>
      <c r="E126" s="274"/>
      <c r="F126" s="274"/>
    </row>
    <row r="127" spans="1:6" ht="15.75">
      <c r="A127" s="193"/>
      <c r="B127" s="274" t="s">
        <v>105</v>
      </c>
      <c r="C127" s="274"/>
      <c r="D127" s="274"/>
      <c r="E127" s="274"/>
      <c r="F127" s="274"/>
    </row>
    <row r="128" spans="1:6" ht="30" customHeight="1">
      <c r="A128" s="193"/>
      <c r="B128" s="274" t="s">
        <v>108</v>
      </c>
      <c r="C128" s="274"/>
      <c r="D128" s="274"/>
      <c r="E128" s="274"/>
      <c r="F128" s="274"/>
    </row>
    <row r="129" spans="1:6" ht="30" customHeight="1">
      <c r="A129" s="193"/>
      <c r="B129" s="274" t="s">
        <v>113</v>
      </c>
      <c r="C129" s="274"/>
      <c r="D129" s="274"/>
      <c r="E129" s="274"/>
      <c r="F129" s="274"/>
    </row>
    <row r="130" spans="1:6" ht="15.75">
      <c r="A130" s="193"/>
      <c r="B130" s="274" t="s">
        <v>107</v>
      </c>
      <c r="C130" s="274"/>
      <c r="D130" s="274"/>
      <c r="E130" s="274"/>
      <c r="F130" s="274"/>
    </row>
    <row r="131" spans="1:6" ht="35.25" customHeight="1">
      <c r="A131" s="193"/>
      <c r="B131" s="274" t="s">
        <v>114</v>
      </c>
      <c r="C131" s="274"/>
      <c r="D131" s="274"/>
      <c r="E131" s="274"/>
      <c r="F131" s="274"/>
    </row>
    <row r="132" spans="1:6" ht="15.75" customHeight="1">
      <c r="A132" s="280" t="s">
        <v>231</v>
      </c>
      <c r="B132" s="280"/>
      <c r="C132" s="280"/>
      <c r="D132" s="280"/>
      <c r="E132" s="280"/>
      <c r="F132" s="280"/>
    </row>
    <row r="133" spans="1:6" ht="32.25" customHeight="1">
      <c r="A133" s="280" t="s">
        <v>232</v>
      </c>
      <c r="B133" s="280"/>
      <c r="C133" s="280"/>
      <c r="D133" s="280"/>
      <c r="E133" s="280"/>
      <c r="F133" s="280"/>
    </row>
    <row r="134" spans="1:6" ht="33" customHeight="1">
      <c r="A134" s="280" t="s">
        <v>115</v>
      </c>
      <c r="B134" s="280"/>
      <c r="C134" s="280"/>
      <c r="D134" s="280"/>
      <c r="E134" s="280"/>
      <c r="F134" s="280"/>
    </row>
    <row r="135" spans="1:5" ht="15.75">
      <c r="A135" s="281"/>
      <c r="B135" s="281"/>
      <c r="C135" s="281"/>
      <c r="D135" s="281"/>
      <c r="E135" s="192"/>
    </row>
    <row r="136" spans="1:3" ht="15.75">
      <c r="A136"/>
      <c r="B136"/>
      <c r="C136"/>
    </row>
    <row r="137" spans="1:3" ht="15.75">
      <c r="A137"/>
      <c r="B137"/>
      <c r="C137"/>
    </row>
    <row r="138" spans="1:3" ht="15.75">
      <c r="A138"/>
      <c r="B138"/>
      <c r="C138"/>
    </row>
    <row r="139" spans="1:4" ht="15.75">
      <c r="A139"/>
      <c r="B139"/>
      <c r="C139"/>
      <c r="D139"/>
    </row>
    <row r="140" spans="1:3" ht="15.75">
      <c r="A140"/>
      <c r="B140"/>
      <c r="C140"/>
    </row>
  </sheetData>
  <sheetProtection/>
  <mergeCells count="72">
    <mergeCell ref="B87:C87"/>
    <mergeCell ref="B88:C88"/>
    <mergeCell ref="B89:C89"/>
    <mergeCell ref="A118:C118"/>
    <mergeCell ref="A99:B99"/>
    <mergeCell ref="C100:C102"/>
    <mergeCell ref="A107:C107"/>
    <mergeCell ref="B113:C113"/>
    <mergeCell ref="B114:C114"/>
    <mergeCell ref="B115:C115"/>
    <mergeCell ref="B116:C116"/>
    <mergeCell ref="B117:C117"/>
    <mergeCell ref="A109:D109"/>
    <mergeCell ref="A111:C111"/>
    <mergeCell ref="B112:C112"/>
    <mergeCell ref="A54:D54"/>
    <mergeCell ref="A65:D65"/>
    <mergeCell ref="A67:D67"/>
    <mergeCell ref="B85:C85"/>
    <mergeCell ref="B86:C86"/>
    <mergeCell ref="B48:C48"/>
    <mergeCell ref="B49:C49"/>
    <mergeCell ref="B50:C50"/>
    <mergeCell ref="B51:C51"/>
    <mergeCell ref="A52:C52"/>
    <mergeCell ref="A14:D14"/>
    <mergeCell ref="A16:D16"/>
    <mergeCell ref="A36:D36"/>
    <mergeCell ref="B38:C38"/>
    <mergeCell ref="B39:C39"/>
    <mergeCell ref="B8:C8"/>
    <mergeCell ref="B9:C9"/>
    <mergeCell ref="B10:C10"/>
    <mergeCell ref="B11:C11"/>
    <mergeCell ref="A12:C12"/>
    <mergeCell ref="A135:D135"/>
    <mergeCell ref="B127:F127"/>
    <mergeCell ref="B128:F128"/>
    <mergeCell ref="B129:F129"/>
    <mergeCell ref="B130:F130"/>
    <mergeCell ref="B131:F131"/>
    <mergeCell ref="A132:F132"/>
    <mergeCell ref="A133:F133"/>
    <mergeCell ref="A134:F134"/>
    <mergeCell ref="B126:F126"/>
    <mergeCell ref="A92:C92"/>
    <mergeCell ref="A122:F122"/>
    <mergeCell ref="B123:F123"/>
    <mergeCell ref="B124:F124"/>
    <mergeCell ref="B125:F125"/>
    <mergeCell ref="D100:D102"/>
    <mergeCell ref="A21:B21"/>
    <mergeCell ref="A23:D23"/>
    <mergeCell ref="A34:B34"/>
    <mergeCell ref="A90:C90"/>
    <mergeCell ref="A94:D94"/>
    <mergeCell ref="A63:B63"/>
    <mergeCell ref="A77:B77"/>
    <mergeCell ref="A79:B79"/>
    <mergeCell ref="A81:B81"/>
    <mergeCell ref="A83:D83"/>
    <mergeCell ref="B40:C40"/>
    <mergeCell ref="B41:C41"/>
    <mergeCell ref="B42:C42"/>
    <mergeCell ref="B43:C43"/>
    <mergeCell ref="A44:C44"/>
    <mergeCell ref="A46:D46"/>
    <mergeCell ref="A4:D4"/>
    <mergeCell ref="B6:C6"/>
    <mergeCell ref="B7:C7"/>
    <mergeCell ref="A1:D1"/>
    <mergeCell ref="A2:D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D85" sqref="D85"/>
    </sheetView>
  </sheetViews>
  <sheetFormatPr defaultColWidth="9.140625" defaultRowHeight="15"/>
  <cols>
    <col min="1" max="1" width="13.7109375" style="91" customWidth="1"/>
    <col min="2" max="2" width="12.140625" style="91" bestFit="1" customWidth="1"/>
    <col min="3" max="3" width="13.28125" style="91" customWidth="1"/>
    <col min="4" max="4" width="12.28125" style="91" customWidth="1"/>
    <col min="5" max="5" width="12.28125" style="91" bestFit="1" customWidth="1"/>
    <col min="6" max="6" width="10.8515625" style="91" customWidth="1"/>
    <col min="7" max="7" width="12.140625" style="91" bestFit="1" customWidth="1"/>
    <col min="8" max="8" width="16.00390625" style="91" customWidth="1"/>
    <col min="9" max="9" width="10.57421875" style="91" bestFit="1" customWidth="1"/>
    <col min="10" max="10" width="11.421875" style="91" bestFit="1" customWidth="1"/>
    <col min="11" max="11" width="12.28125" style="91" bestFit="1" customWidth="1"/>
    <col min="12" max="12" width="10.8515625" style="91" bestFit="1" customWidth="1"/>
    <col min="13" max="13" width="4.8515625" style="91" customWidth="1"/>
    <col min="14" max="14" width="21.57421875" style="91" customWidth="1"/>
    <col min="15" max="15" width="20.7109375" style="91" customWidth="1"/>
    <col min="16" max="16" width="10.57421875" style="91" bestFit="1" customWidth="1"/>
    <col min="17" max="17" width="9.140625" style="91" customWidth="1"/>
    <col min="18" max="18" width="14.421875" style="91" customWidth="1"/>
    <col min="19" max="16384" width="9.140625" style="91" customWidth="1"/>
  </cols>
  <sheetData>
    <row r="1" spans="1:12" ht="18.75" customHeight="1">
      <c r="A1" s="315" t="s">
        <v>118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8.75" customHeight="1">
      <c r="A2" s="315" t="s">
        <v>119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ht="11.25"/>
    <row r="4" spans="1:7" ht="11.25">
      <c r="A4" s="92" t="s">
        <v>120</v>
      </c>
      <c r="B4" s="93">
        <v>2021</v>
      </c>
      <c r="C4" s="94">
        <v>2022</v>
      </c>
      <c r="D4" s="93" t="s">
        <v>121</v>
      </c>
      <c r="G4" s="95"/>
    </row>
    <row r="5" spans="1:7" ht="11.25">
      <c r="A5" s="96" t="s">
        <v>122</v>
      </c>
      <c r="B5" s="97">
        <v>2338.37</v>
      </c>
      <c r="C5" s="98">
        <v>2629.86</v>
      </c>
      <c r="D5" s="99">
        <f>((C5/B5)-1)</f>
        <v>0.12465520854270284</v>
      </c>
      <c r="E5" s="100"/>
      <c r="F5" s="100"/>
      <c r="G5" s="100"/>
    </row>
    <row r="6" ht="11.25"/>
    <row r="7" spans="2:7" ht="11.25">
      <c r="B7" s="101"/>
      <c r="D7" s="101" t="s">
        <v>11</v>
      </c>
      <c r="E7" s="101"/>
      <c r="F7" s="101" t="s">
        <v>12</v>
      </c>
      <c r="G7" s="101" t="s">
        <v>123</v>
      </c>
    </row>
    <row r="8" spans="1:7" ht="21" customHeight="1">
      <c r="A8" s="316" t="s">
        <v>120</v>
      </c>
      <c r="B8" s="102" t="s">
        <v>124</v>
      </c>
      <c r="C8" s="317" t="s">
        <v>125</v>
      </c>
      <c r="D8" s="319" t="s">
        <v>126</v>
      </c>
      <c r="E8" s="321" t="s">
        <v>127</v>
      </c>
      <c r="F8" s="322"/>
      <c r="G8" s="325" t="s">
        <v>128</v>
      </c>
    </row>
    <row r="9" spans="1:7" ht="11.25">
      <c r="A9" s="316"/>
      <c r="B9" s="93">
        <v>2022</v>
      </c>
      <c r="C9" s="318"/>
      <c r="D9" s="320"/>
      <c r="E9" s="323"/>
      <c r="F9" s="324"/>
      <c r="G9" s="326"/>
    </row>
    <row r="10" spans="1:7" ht="11.25">
      <c r="A10" s="96" t="s">
        <v>122</v>
      </c>
      <c r="B10" s="97">
        <f>C5</f>
        <v>2629.86</v>
      </c>
      <c r="C10" s="103" t="s">
        <v>129</v>
      </c>
      <c r="D10" s="104">
        <f>B10</f>
        <v>2629.86</v>
      </c>
      <c r="E10" s="105">
        <v>0.0001</v>
      </c>
      <c r="F10" s="106">
        <f>E10*D10</f>
        <v>0.26298600000000005</v>
      </c>
      <c r="G10" s="107">
        <f>D10+F10</f>
        <v>2630.1229860000003</v>
      </c>
    </row>
    <row r="11" spans="2:4" ht="11.25">
      <c r="B11" s="108"/>
      <c r="C11" s="108">
        <f>-B479</f>
        <v>0</v>
      </c>
      <c r="D11" s="109"/>
    </row>
    <row r="12" spans="2:17" ht="11.25">
      <c r="B12" s="108"/>
      <c r="C12" s="108"/>
      <c r="D12" s="109"/>
      <c r="E12" s="110"/>
      <c r="F12" s="110"/>
      <c r="G12" s="110" t="s">
        <v>14</v>
      </c>
      <c r="H12" s="110" t="s">
        <v>130</v>
      </c>
      <c r="I12" s="111"/>
      <c r="J12" s="112"/>
      <c r="K12" s="112"/>
      <c r="L12" s="112"/>
      <c r="M12" s="112"/>
      <c r="N12" s="112"/>
      <c r="O12" s="112"/>
      <c r="P12" s="113"/>
      <c r="Q12" s="109"/>
    </row>
    <row r="13" spans="1:17" ht="11.25">
      <c r="A13" s="316" t="s">
        <v>120</v>
      </c>
      <c r="B13" s="327" t="s">
        <v>131</v>
      </c>
      <c r="C13" s="327"/>
      <c r="D13" s="327"/>
      <c r="E13" s="327"/>
      <c r="F13" s="316" t="s">
        <v>132</v>
      </c>
      <c r="G13" s="316"/>
      <c r="H13" s="328" t="s">
        <v>133</v>
      </c>
      <c r="I13" s="111"/>
      <c r="J13" s="112"/>
      <c r="K13" s="112"/>
      <c r="L13" s="112"/>
      <c r="M13" s="112"/>
      <c r="N13" s="112"/>
      <c r="O13" s="112"/>
      <c r="P13" s="113"/>
      <c r="Q13" s="109"/>
    </row>
    <row r="14" spans="1:17" ht="11.25">
      <c r="A14" s="316"/>
      <c r="B14" s="93" t="s">
        <v>134</v>
      </c>
      <c r="C14" s="93" t="s">
        <v>135</v>
      </c>
      <c r="D14" s="93" t="s">
        <v>136</v>
      </c>
      <c r="E14" s="93" t="s">
        <v>137</v>
      </c>
      <c r="F14" s="92" t="s">
        <v>138</v>
      </c>
      <c r="G14" s="114" t="s">
        <v>139</v>
      </c>
      <c r="H14" s="329"/>
      <c r="I14" s="111"/>
      <c r="J14" s="112"/>
      <c r="K14" s="112"/>
      <c r="L14" s="112"/>
      <c r="M14" s="112"/>
      <c r="N14" s="112"/>
      <c r="O14" s="112"/>
      <c r="P14" s="113"/>
      <c r="Q14" s="109"/>
    </row>
    <row r="15" spans="1:17" ht="11.25">
      <c r="A15" s="96" t="s">
        <v>122</v>
      </c>
      <c r="B15" s="115">
        <f>36.8%-1.5%</f>
        <v>0.353</v>
      </c>
      <c r="C15" s="115">
        <f>23.27%</f>
        <v>0.2327</v>
      </c>
      <c r="D15" s="115">
        <v>0.0453</v>
      </c>
      <c r="E15" s="115">
        <f>B15*C15</f>
        <v>0.0821431</v>
      </c>
      <c r="F15" s="116">
        <f>SUM(B15:E15)</f>
        <v>0.7131431</v>
      </c>
      <c r="G15" s="117">
        <f>G10*F15</f>
        <v>1875.654059617297</v>
      </c>
      <c r="H15" s="118">
        <f>G10+G15</f>
        <v>4505.7770456172975</v>
      </c>
      <c r="I15" s="113"/>
      <c r="J15" s="112"/>
      <c r="K15" s="112"/>
      <c r="L15" s="112"/>
      <c r="M15" s="112"/>
      <c r="N15" s="112"/>
      <c r="O15" s="112"/>
      <c r="P15" s="113"/>
      <c r="Q15" s="109"/>
    </row>
    <row r="16" spans="2:17" ht="11.25">
      <c r="B16" s="119"/>
      <c r="C16" s="120"/>
      <c r="D16" s="120"/>
      <c r="E16" s="120"/>
      <c r="F16" s="120"/>
      <c r="G16" s="121"/>
      <c r="H16" s="122"/>
      <c r="I16" s="111"/>
      <c r="J16" s="112"/>
      <c r="K16" s="112"/>
      <c r="L16" s="112"/>
      <c r="M16" s="112"/>
      <c r="N16" s="112"/>
      <c r="O16" s="112"/>
      <c r="P16" s="113"/>
      <c r="Q16" s="109"/>
    </row>
    <row r="17" spans="2:17" ht="11.25">
      <c r="B17" s="108"/>
      <c r="C17" s="108"/>
      <c r="D17" s="109"/>
      <c r="E17" s="110"/>
      <c r="F17" s="110"/>
      <c r="G17" s="110"/>
      <c r="H17" s="110"/>
      <c r="I17" s="110" t="s">
        <v>16</v>
      </c>
      <c r="J17" s="123"/>
      <c r="K17" s="124" t="s">
        <v>17</v>
      </c>
      <c r="L17" s="112" t="s">
        <v>140</v>
      </c>
      <c r="M17" s="112"/>
      <c r="O17" s="112"/>
      <c r="P17" s="113"/>
      <c r="Q17" s="109"/>
    </row>
    <row r="18" spans="1:17" ht="11.25">
      <c r="A18" s="316" t="s">
        <v>120</v>
      </c>
      <c r="B18" s="327" t="s">
        <v>141</v>
      </c>
      <c r="C18" s="327"/>
      <c r="D18" s="327"/>
      <c r="E18" s="327"/>
      <c r="F18" s="327"/>
      <c r="G18" s="327"/>
      <c r="H18" s="327"/>
      <c r="I18" s="327" t="s">
        <v>142</v>
      </c>
      <c r="J18" s="330" t="s">
        <v>127</v>
      </c>
      <c r="K18" s="330"/>
      <c r="L18" s="331" t="s">
        <v>126</v>
      </c>
      <c r="O18" s="112"/>
      <c r="P18" s="113"/>
      <c r="Q18" s="109"/>
    </row>
    <row r="19" spans="1:17" ht="21">
      <c r="A19" s="316"/>
      <c r="B19" s="93" t="s">
        <v>143</v>
      </c>
      <c r="C19" s="125" t="s">
        <v>144</v>
      </c>
      <c r="D19" s="125" t="s">
        <v>145</v>
      </c>
      <c r="E19" s="126" t="s">
        <v>146</v>
      </c>
      <c r="F19" s="93" t="s">
        <v>147</v>
      </c>
      <c r="G19" s="127" t="s">
        <v>148</v>
      </c>
      <c r="H19" s="125" t="s">
        <v>149</v>
      </c>
      <c r="I19" s="327"/>
      <c r="J19" s="125" t="s">
        <v>138</v>
      </c>
      <c r="K19" s="128" t="s">
        <v>139</v>
      </c>
      <c r="L19" s="331"/>
      <c r="O19" s="112"/>
      <c r="P19" s="113"/>
      <c r="Q19" s="109"/>
    </row>
    <row r="20" spans="1:17" ht="11.25">
      <c r="A20" s="96" t="s">
        <v>122</v>
      </c>
      <c r="B20" s="129">
        <v>2.85</v>
      </c>
      <c r="C20" s="129">
        <f>568.04*0.8</f>
        <v>454.432</v>
      </c>
      <c r="D20" s="129">
        <f>(22*2*3.9)-(C5*0.06)</f>
        <v>13.808400000000006</v>
      </c>
      <c r="E20" s="129">
        <v>0.5</v>
      </c>
      <c r="F20" s="129">
        <v>0.5</v>
      </c>
      <c r="G20" s="129">
        <f>118.06+0.01</f>
        <v>118.07000000000001</v>
      </c>
      <c r="H20" s="129">
        <v>11.83</v>
      </c>
      <c r="I20" s="130">
        <f>SUM(B20:H20)</f>
        <v>601.9904000000001</v>
      </c>
      <c r="J20" s="105">
        <v>0.0001</v>
      </c>
      <c r="K20" s="106">
        <f>J20*I20</f>
        <v>0.060199040000000016</v>
      </c>
      <c r="L20" s="118">
        <f>H15+I20+K20</f>
        <v>5107.827644657297</v>
      </c>
      <c r="O20" s="112"/>
      <c r="P20" s="113"/>
      <c r="Q20" s="109"/>
    </row>
    <row r="21" spans="1:17" ht="11.25">
      <c r="A21" s="131"/>
      <c r="B21" s="132"/>
      <c r="C21" s="132"/>
      <c r="D21" s="132"/>
      <c r="E21" s="132"/>
      <c r="F21" s="132"/>
      <c r="G21" s="132"/>
      <c r="H21" s="133"/>
      <c r="I21" s="134"/>
      <c r="J21" s="132"/>
      <c r="K21" s="132"/>
      <c r="L21" s="132"/>
      <c r="M21" s="112"/>
      <c r="N21" s="112"/>
      <c r="O21" s="112"/>
      <c r="P21" s="113"/>
      <c r="Q21" s="109"/>
    </row>
    <row r="22" spans="2:17" ht="11.25">
      <c r="B22" s="108"/>
      <c r="C22" s="108"/>
      <c r="D22" s="109"/>
      <c r="E22" s="110" t="s">
        <v>18</v>
      </c>
      <c r="F22" s="110" t="s">
        <v>150</v>
      </c>
      <c r="G22" s="110"/>
      <c r="H22" s="110"/>
      <c r="I22" s="111"/>
      <c r="J22" s="112"/>
      <c r="K22" s="112"/>
      <c r="L22" s="112"/>
      <c r="M22" s="112"/>
      <c r="N22" s="112"/>
      <c r="O22" s="112"/>
      <c r="P22" s="113"/>
      <c r="Q22" s="109"/>
    </row>
    <row r="23" spans="1:17" ht="11.25">
      <c r="A23" s="316" t="s">
        <v>120</v>
      </c>
      <c r="B23" s="332" t="s">
        <v>151</v>
      </c>
      <c r="C23" s="332"/>
      <c r="D23" s="316" t="s">
        <v>126</v>
      </c>
      <c r="E23" s="316"/>
      <c r="F23" s="328" t="s">
        <v>133</v>
      </c>
      <c r="H23" s="110"/>
      <c r="I23" s="111"/>
      <c r="J23" s="112"/>
      <c r="K23" s="112"/>
      <c r="L23" s="112"/>
      <c r="M23" s="112"/>
      <c r="O23" s="112"/>
      <c r="P23" s="113"/>
      <c r="Q23" s="109"/>
    </row>
    <row r="24" spans="1:17" ht="11.25">
      <c r="A24" s="316"/>
      <c r="B24" s="126" t="s">
        <v>152</v>
      </c>
      <c r="C24" s="93" t="s">
        <v>153</v>
      </c>
      <c r="D24" s="92" t="s">
        <v>138</v>
      </c>
      <c r="E24" s="92" t="s">
        <v>139</v>
      </c>
      <c r="F24" s="329"/>
      <c r="H24" s="135"/>
      <c r="I24" s="111"/>
      <c r="J24" s="112"/>
      <c r="K24" s="112"/>
      <c r="L24" s="112"/>
      <c r="M24" s="112"/>
      <c r="N24" s="112"/>
      <c r="O24" s="112"/>
      <c r="P24" s="113"/>
      <c r="Q24" s="109"/>
    </row>
    <row r="25" spans="1:17" ht="11.25">
      <c r="A25" s="96" t="s">
        <v>122</v>
      </c>
      <c r="B25" s="136">
        <v>0.001</v>
      </c>
      <c r="C25" s="137">
        <v>0.0013</v>
      </c>
      <c r="D25" s="138">
        <f>SUM(B25:C25)</f>
        <v>0.0023</v>
      </c>
      <c r="E25" s="139">
        <f>L20*D25</f>
        <v>11.748003582711783</v>
      </c>
      <c r="F25" s="118">
        <f>L20+E25</f>
        <v>5119.575648240009</v>
      </c>
      <c r="H25" s="110"/>
      <c r="I25" s="111"/>
      <c r="J25" s="112"/>
      <c r="K25" s="112"/>
      <c r="L25" s="112"/>
      <c r="M25" s="112"/>
      <c r="N25" s="112"/>
      <c r="O25" s="112"/>
      <c r="P25" s="113"/>
      <c r="Q25" s="109"/>
    </row>
    <row r="26" spans="2:17" ht="11.25">
      <c r="B26" s="108"/>
      <c r="C26" s="108"/>
      <c r="D26" s="109"/>
      <c r="E26" s="110"/>
      <c r="F26" s="110"/>
      <c r="G26" s="110"/>
      <c r="H26" s="110"/>
      <c r="I26" s="111"/>
      <c r="J26" s="112"/>
      <c r="K26" s="112"/>
      <c r="L26" s="112"/>
      <c r="M26" s="112"/>
      <c r="N26" s="112"/>
      <c r="O26" s="112"/>
      <c r="P26" s="113"/>
      <c r="Q26" s="109"/>
    </row>
    <row r="27" spans="2:17" ht="11.25">
      <c r="B27" s="333" t="s">
        <v>19</v>
      </c>
      <c r="C27" s="333"/>
      <c r="D27" s="334" t="s">
        <v>154</v>
      </c>
      <c r="E27" s="334"/>
      <c r="F27" s="110"/>
      <c r="G27" s="110"/>
      <c r="H27" s="110"/>
      <c r="I27" s="111"/>
      <c r="J27" s="112"/>
      <c r="K27" s="112"/>
      <c r="L27" s="112"/>
      <c r="M27" s="112"/>
      <c r="N27" s="112"/>
      <c r="O27" s="112"/>
      <c r="P27" s="113"/>
      <c r="Q27" s="109"/>
    </row>
    <row r="28" spans="1:17" ht="11.25">
      <c r="A28" s="316" t="s">
        <v>120</v>
      </c>
      <c r="B28" s="332" t="s">
        <v>155</v>
      </c>
      <c r="C28" s="332"/>
      <c r="D28" s="335" t="s">
        <v>156</v>
      </c>
      <c r="E28" s="336"/>
      <c r="J28" s="140"/>
      <c r="K28" s="112"/>
      <c r="L28" s="112"/>
      <c r="M28" s="112"/>
      <c r="N28" s="112"/>
      <c r="O28" s="112"/>
      <c r="P28" s="113"/>
      <c r="Q28" s="109"/>
    </row>
    <row r="29" spans="1:17" ht="11.25">
      <c r="A29" s="316"/>
      <c r="B29" s="339">
        <v>0.0865</v>
      </c>
      <c r="C29" s="339"/>
      <c r="D29" s="337"/>
      <c r="E29" s="338"/>
      <c r="I29" s="141"/>
      <c r="J29" s="142"/>
      <c r="K29" s="112"/>
      <c r="L29" s="112"/>
      <c r="M29" s="112"/>
      <c r="N29" s="112"/>
      <c r="O29" s="112"/>
      <c r="P29" s="113"/>
      <c r="Q29" s="109"/>
    </row>
    <row r="30" spans="1:17" ht="15">
      <c r="A30" s="96" t="s">
        <v>122</v>
      </c>
      <c r="B30" s="340">
        <f>F25/(1-0.0865)-F25</f>
        <v>484.7764571130392</v>
      </c>
      <c r="C30" s="340"/>
      <c r="D30" s="341">
        <f>F25+B30</f>
        <v>5604.3521053530485</v>
      </c>
      <c r="E30" s="341"/>
      <c r="F30" s="143"/>
      <c r="J30" s="112"/>
      <c r="K30" s="112"/>
      <c r="L30" s="112"/>
      <c r="M30" s="112"/>
      <c r="N30" s="112"/>
      <c r="O30" s="112"/>
      <c r="P30" s="113"/>
      <c r="Q30" s="109"/>
    </row>
    <row r="31" spans="1:17" ht="15">
      <c r="A31" s="144"/>
      <c r="B31" s="145"/>
      <c r="C31" s="145"/>
      <c r="D31" s="146"/>
      <c r="E31" s="133"/>
      <c r="F31" s="143"/>
      <c r="J31" s="112"/>
      <c r="K31" s="112"/>
      <c r="L31" s="112"/>
      <c r="M31" s="112"/>
      <c r="N31" s="112"/>
      <c r="O31" s="112"/>
      <c r="P31" s="113"/>
      <c r="Q31" s="109"/>
    </row>
    <row r="32" spans="1:17" ht="15.75" thickBot="1">
      <c r="A32" s="144"/>
      <c r="B32" s="145"/>
      <c r="C32" s="145"/>
      <c r="D32" s="147"/>
      <c r="E32" s="148"/>
      <c r="F32" s="143"/>
      <c r="J32" s="112"/>
      <c r="K32" s="112"/>
      <c r="L32" s="112"/>
      <c r="M32" s="112"/>
      <c r="N32" s="112"/>
      <c r="O32" s="112"/>
      <c r="P32" s="113"/>
      <c r="Q32" s="109"/>
    </row>
    <row r="33" spans="1:17" ht="15">
      <c r="A33" s="316" t="s">
        <v>157</v>
      </c>
      <c r="B33" s="316"/>
      <c r="C33" s="316"/>
      <c r="D33" s="316"/>
      <c r="E33" s="316"/>
      <c r="F33" s="143"/>
      <c r="G33" s="342" t="s">
        <v>158</v>
      </c>
      <c r="H33" s="343"/>
      <c r="I33" s="343"/>
      <c r="J33" s="343"/>
      <c r="K33" s="344"/>
      <c r="L33" s="112"/>
      <c r="M33" s="112"/>
      <c r="N33" s="112"/>
      <c r="O33" s="112"/>
      <c r="P33" s="113"/>
      <c r="Q33" s="109"/>
    </row>
    <row r="34" spans="1:17" ht="15">
      <c r="A34" s="316" t="s">
        <v>120</v>
      </c>
      <c r="B34" s="316" t="s">
        <v>159</v>
      </c>
      <c r="C34" s="149" t="s">
        <v>160</v>
      </c>
      <c r="D34" s="114" t="s">
        <v>161</v>
      </c>
      <c r="E34" s="114" t="s">
        <v>161</v>
      </c>
      <c r="F34" s="143"/>
      <c r="G34" s="150" t="s">
        <v>120</v>
      </c>
      <c r="H34" s="151" t="s">
        <v>159</v>
      </c>
      <c r="I34" s="151" t="s">
        <v>160</v>
      </c>
      <c r="J34" s="151" t="s">
        <v>161</v>
      </c>
      <c r="K34" s="152" t="s">
        <v>161</v>
      </c>
      <c r="L34" s="112"/>
      <c r="M34" s="112"/>
      <c r="N34" s="112"/>
      <c r="O34" s="112"/>
      <c r="P34" s="113"/>
      <c r="Q34" s="109"/>
    </row>
    <row r="35" spans="1:11" ht="15">
      <c r="A35" s="316"/>
      <c r="B35" s="316"/>
      <c r="C35" s="92" t="s">
        <v>162</v>
      </c>
      <c r="D35" s="92" t="s">
        <v>163</v>
      </c>
      <c r="E35" s="92" t="s">
        <v>164</v>
      </c>
      <c r="F35" s="143"/>
      <c r="G35" s="150"/>
      <c r="H35" s="151"/>
      <c r="I35" s="151" t="s">
        <v>162</v>
      </c>
      <c r="J35" s="151" t="s">
        <v>163</v>
      </c>
      <c r="K35" s="152" t="s">
        <v>164</v>
      </c>
    </row>
    <row r="36" spans="1:11" ht="15">
      <c r="A36" s="96" t="s">
        <v>122</v>
      </c>
      <c r="B36" s="153">
        <v>5</v>
      </c>
      <c r="C36" s="186">
        <f>D30</f>
        <v>5604.3521053530485</v>
      </c>
      <c r="D36" s="154">
        <f>B36*C36</f>
        <v>28021.760526765243</v>
      </c>
      <c r="E36" s="139">
        <f>D36*12</f>
        <v>336261.12632118294</v>
      </c>
      <c r="F36" s="143"/>
      <c r="G36" s="155" t="s">
        <v>122</v>
      </c>
      <c r="H36" s="156">
        <v>5</v>
      </c>
      <c r="I36" s="157">
        <v>5953.53</v>
      </c>
      <c r="J36" s="158">
        <v>29767.64</v>
      </c>
      <c r="K36" s="159">
        <v>357211.65</v>
      </c>
    </row>
    <row r="37" spans="1:11" ht="15.75" thickBot="1">
      <c r="A37" s="96" t="s">
        <v>126</v>
      </c>
      <c r="B37" s="92">
        <f>SUM(B36:B36)</f>
        <v>5</v>
      </c>
      <c r="C37" s="160">
        <f>SUM(C36)</f>
        <v>5604.3521053530485</v>
      </c>
      <c r="D37" s="161">
        <f>SUM(D36:D36)</f>
        <v>28021.760526765243</v>
      </c>
      <c r="E37" s="161">
        <f>SUM(E36:E36)</f>
        <v>336261.12632118294</v>
      </c>
      <c r="F37" s="143"/>
      <c r="G37" s="162" t="s">
        <v>126</v>
      </c>
      <c r="H37" s="163">
        <v>5</v>
      </c>
      <c r="I37" s="164">
        <f>SUM(I36)</f>
        <v>5953.53</v>
      </c>
      <c r="J37" s="165">
        <f>SUM(J36:J36)</f>
        <v>29767.64</v>
      </c>
      <c r="K37" s="166">
        <f>SUM(K36:K36)</f>
        <v>357211.65</v>
      </c>
    </row>
    <row r="38" spans="1:6" ht="15.75" thickBot="1">
      <c r="A38" s="144"/>
      <c r="B38" s="167"/>
      <c r="C38" s="168"/>
      <c r="D38" s="169"/>
      <c r="E38" s="169"/>
      <c r="F38" s="143"/>
    </row>
    <row r="39" spans="1:12" ht="15">
      <c r="A39" s="345" t="s">
        <v>165</v>
      </c>
      <c r="B39" s="346"/>
      <c r="C39" s="347"/>
      <c r="D39"/>
      <c r="E39"/>
      <c r="F39" s="143"/>
      <c r="G39" s="144"/>
      <c r="K39" s="133"/>
      <c r="L39" s="131"/>
    </row>
    <row r="40" spans="1:5" ht="11.25" customHeight="1">
      <c r="A40" s="348"/>
      <c r="B40" s="349"/>
      <c r="C40" s="350"/>
      <c r="D40"/>
      <c r="E40"/>
    </row>
    <row r="41" spans="1:3" ht="11.25">
      <c r="A41" s="351" t="s">
        <v>163</v>
      </c>
      <c r="B41" s="352"/>
      <c r="C41" s="353"/>
    </row>
    <row r="42" spans="1:3" ht="11.25">
      <c r="A42" s="170" t="s">
        <v>166</v>
      </c>
      <c r="B42" s="153" t="s">
        <v>167</v>
      </c>
      <c r="C42" s="171" t="s">
        <v>168</v>
      </c>
    </row>
    <row r="43" spans="1:3" ht="11.25">
      <c r="A43" s="172">
        <f>D37</f>
        <v>28021.760526765243</v>
      </c>
      <c r="B43" s="139">
        <f>J37</f>
        <v>29767.64</v>
      </c>
      <c r="C43" s="173">
        <f>B43-A43</f>
        <v>1745.879473234756</v>
      </c>
    </row>
    <row r="44" spans="1:3" ht="11.25">
      <c r="A44" s="351" t="s">
        <v>164</v>
      </c>
      <c r="B44" s="352"/>
      <c r="C44" s="353"/>
    </row>
    <row r="45" spans="1:3" ht="11.25">
      <c r="A45" s="170" t="s">
        <v>169</v>
      </c>
      <c r="B45" s="153" t="s">
        <v>167</v>
      </c>
      <c r="C45" s="171" t="s">
        <v>168</v>
      </c>
    </row>
    <row r="46" spans="1:3" ht="12" thickBot="1">
      <c r="A46" s="174">
        <f>E37</f>
        <v>336261.12632118294</v>
      </c>
      <c r="B46" s="175">
        <f>K37</f>
        <v>357211.65</v>
      </c>
      <c r="C46" s="176">
        <f>B46-A46</f>
        <v>20950.523678817088</v>
      </c>
    </row>
    <row r="47" ht="15.75" thickBot="1">
      <c r="I47"/>
    </row>
    <row r="48" spans="1:9" ht="15.75" thickBot="1">
      <c r="A48" s="354" t="s">
        <v>170</v>
      </c>
      <c r="B48" s="354"/>
      <c r="C48" s="354"/>
      <c r="D48" s="354"/>
      <c r="E48" s="354"/>
      <c r="I48"/>
    </row>
    <row r="49" spans="1:9" ht="15.75" thickBot="1">
      <c r="A49" s="177" t="s">
        <v>171</v>
      </c>
      <c r="B49" s="177" t="s">
        <v>172</v>
      </c>
      <c r="C49" s="177" t="s">
        <v>173</v>
      </c>
      <c r="D49" s="177" t="s">
        <v>174</v>
      </c>
      <c r="E49" s="178" t="s">
        <v>168</v>
      </c>
      <c r="G49" s="179"/>
      <c r="H49" s="179"/>
      <c r="I49"/>
    </row>
    <row r="50" spans="1:9" ht="15.75" thickBot="1">
      <c r="A50" s="180">
        <v>44682</v>
      </c>
      <c r="B50" s="181" t="s">
        <v>175</v>
      </c>
      <c r="C50" s="182">
        <v>25004.07</v>
      </c>
      <c r="D50" s="182">
        <f>$D$36</f>
        <v>28021.760526765243</v>
      </c>
      <c r="E50" s="183">
        <f>D50-C50</f>
        <v>3017.6905267652437</v>
      </c>
      <c r="I50"/>
    </row>
    <row r="51" spans="1:5" ht="15.75" customHeight="1" thickBot="1">
      <c r="A51" s="180">
        <v>44713</v>
      </c>
      <c r="B51" s="181" t="s">
        <v>176</v>
      </c>
      <c r="C51" s="182">
        <v>25004.07</v>
      </c>
      <c r="D51" s="182">
        <f>$D$36</f>
        <v>28021.760526765243</v>
      </c>
      <c r="E51" s="183">
        <f>D51-C51</f>
        <v>3017.6905267652437</v>
      </c>
    </row>
    <row r="52" spans="1:5" ht="12" thickBot="1">
      <c r="A52" s="355" t="s">
        <v>126</v>
      </c>
      <c r="B52" s="355"/>
      <c r="C52" s="184">
        <f>SUM(C50:C51)</f>
        <v>50008.14</v>
      </c>
      <c r="D52" s="184">
        <f>SUM(D50:D51)</f>
        <v>56043.52105353049</v>
      </c>
      <c r="E52" s="185">
        <f>SUM(E50:E51)</f>
        <v>6035.381053530487</v>
      </c>
    </row>
    <row r="53" ht="11.25">
      <c r="C53" s="100"/>
    </row>
    <row r="56" ht="11.25">
      <c r="C56" s="100"/>
    </row>
  </sheetData>
  <sheetProtection/>
  <mergeCells count="37">
    <mergeCell ref="A39:C40"/>
    <mergeCell ref="A41:C41"/>
    <mergeCell ref="A44:C44"/>
    <mergeCell ref="A48:E48"/>
    <mergeCell ref="A52:B52"/>
    <mergeCell ref="B30:C30"/>
    <mergeCell ref="D30:E30"/>
    <mergeCell ref="A33:E33"/>
    <mergeCell ref="G33:K33"/>
    <mergeCell ref="A34:A35"/>
    <mergeCell ref="B34:B35"/>
    <mergeCell ref="B27:C27"/>
    <mergeCell ref="D27:E27"/>
    <mergeCell ref="A28:A29"/>
    <mergeCell ref="B28:C28"/>
    <mergeCell ref="D28:E29"/>
    <mergeCell ref="B29:C29"/>
    <mergeCell ref="I18:I19"/>
    <mergeCell ref="J18:K18"/>
    <mergeCell ref="L18:L19"/>
    <mergeCell ref="A23:A24"/>
    <mergeCell ref="B23:C23"/>
    <mergeCell ref="D23:E23"/>
    <mergeCell ref="F23:F24"/>
    <mergeCell ref="A13:A14"/>
    <mergeCell ref="B13:E13"/>
    <mergeCell ref="F13:G13"/>
    <mergeCell ref="H13:H14"/>
    <mergeCell ref="A18:A19"/>
    <mergeCell ref="B18:H18"/>
    <mergeCell ref="A1:L1"/>
    <mergeCell ref="A2:L2"/>
    <mergeCell ref="A8:A9"/>
    <mergeCell ref="C8:C9"/>
    <mergeCell ref="D8:D9"/>
    <mergeCell ref="E8:F9"/>
    <mergeCell ref="G8:G9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Arcangela Silva Casagrande</dc:creator>
  <cp:keywords/>
  <dc:description/>
  <cp:lastModifiedBy>04759551450</cp:lastModifiedBy>
  <cp:lastPrinted>2022-09-19T15:22:39Z</cp:lastPrinted>
  <dcterms:created xsi:type="dcterms:W3CDTF">2018-01-23T19:35:16Z</dcterms:created>
  <dcterms:modified xsi:type="dcterms:W3CDTF">2023-09-21T13:24:37Z</dcterms:modified>
  <cp:category/>
  <cp:version/>
  <cp:contentType/>
  <cp:contentStatus/>
</cp:coreProperties>
</file>